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L December 2024/"/>
    </mc:Choice>
  </mc:AlternateContent>
  <xr:revisionPtr revIDLastSave="2169" documentId="13_ncr:1_{8F989980-0F84-478B-802D-B52337D91AA0}" xr6:coauthVersionLast="47" xr6:coauthVersionMax="47" xr10:uidLastSave="{D903F58A-2800-4428-BAF5-6BE3758417B2}"/>
  <bookViews>
    <workbookView xWindow="-108" yWindow="-108" windowWidth="23256" windowHeight="1245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95" r:id="rId9"/>
    <sheet name="Figure 2" sheetId="199" r:id="rId10"/>
    <sheet name="Figure 3" sheetId="200" r:id="rId11"/>
    <sheet name="Figure 4" sheetId="196" r:id="rId12"/>
    <sheet name="Figure 5" sheetId="203" r:id="rId13"/>
    <sheet name="Figure 6" sheetId="202" r:id="rId14"/>
  </sheets>
  <definedNames>
    <definedName name="_xlnm._FilterDatabase" localSheetId="11" hidden="1">'Figure 4'!$A$1:$H$1</definedName>
    <definedName name="_xlnm.Print_Area" localSheetId="1">'Table 1'!$A$1:$N$33</definedName>
    <definedName name="_xlnm.Print_Area" localSheetId="7">'Table 10'!$A$1:$G$40</definedName>
    <definedName name="_xlnm.Print_Area" localSheetId="2">'Table 2'!$A$1:$J$28</definedName>
    <definedName name="_xlnm.Print_Area" localSheetId="3">'Table 3'!$A$1:$L$41</definedName>
    <definedName name="_xlnm.Print_Area" localSheetId="5">'Table 8'!$A$1:$G$39</definedName>
    <definedName name="_xlnm.Print_Area" localSheetId="6">'Table 9'!$A$1:$I$41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96" l="1"/>
  <c r="D6" i="196"/>
  <c r="E6" i="196"/>
  <c r="F6" i="196"/>
  <c r="G6" i="196"/>
  <c r="B6" i="196"/>
  <c r="G8" i="9" l="1"/>
  <c r="H26" i="2" l="1"/>
  <c r="D26" i="2"/>
  <c r="A9" i="196" l="1"/>
  <c r="A8" i="196"/>
  <c r="B8" i="196"/>
  <c r="C8" i="196"/>
  <c r="D8" i="196"/>
  <c r="E8" i="196"/>
  <c r="F8" i="196"/>
  <c r="G8" i="196"/>
  <c r="B9" i="196"/>
  <c r="C9" i="196"/>
  <c r="D9" i="196"/>
  <c r="E9" i="196"/>
  <c r="F9" i="196"/>
  <c r="G9" i="196"/>
  <c r="C7" i="196"/>
  <c r="D7" i="196"/>
  <c r="E7" i="196"/>
  <c r="F7" i="196"/>
  <c r="G7" i="196"/>
  <c r="B7" i="196"/>
  <c r="H3" i="196"/>
  <c r="H4" i="196"/>
  <c r="H2" i="196"/>
  <c r="D26" i="9" l="1"/>
  <c r="G31" i="1"/>
  <c r="J26" i="9"/>
  <c r="L31" i="1"/>
  <c r="J22" i="9" l="1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J31" i="1" l="1"/>
  <c r="E26" i="2"/>
  <c r="I26" i="2" s="1"/>
  <c r="G26" i="2" s="1"/>
  <c r="B26" i="2"/>
  <c r="E26" i="9"/>
  <c r="K26" i="9" s="1"/>
  <c r="G26" i="9" s="1"/>
  <c r="B26" i="9"/>
  <c r="H23" i="9"/>
  <c r="J23" i="9" l="1"/>
  <c r="D23" i="9"/>
  <c r="C23" i="9"/>
  <c r="E23" i="9" s="1"/>
  <c r="E22" i="9"/>
  <c r="K22" i="9" s="1"/>
  <c r="G22" i="9" s="1"/>
  <c r="I22" i="9" s="1"/>
  <c r="E21" i="9"/>
  <c r="K21" i="9" s="1"/>
  <c r="G21" i="9" s="1"/>
  <c r="I21" i="9" s="1"/>
  <c r="E20" i="9"/>
  <c r="K20" i="9" s="1"/>
  <c r="G20" i="9" s="1"/>
  <c r="I20" i="9" s="1"/>
  <c r="E19" i="9"/>
  <c r="K19" i="9" s="1"/>
  <c r="G19" i="9" s="1"/>
  <c r="I19" i="9" s="1"/>
  <c r="E18" i="9"/>
  <c r="K18" i="9" s="1"/>
  <c r="G18" i="9" s="1"/>
  <c r="I18" i="9" s="1"/>
  <c r="E17" i="9"/>
  <c r="K17" i="9" s="1"/>
  <c r="G17" i="9" s="1"/>
  <c r="I17" i="9" s="1"/>
  <c r="E16" i="9"/>
  <c r="K16" i="9" s="1"/>
  <c r="G16" i="9" s="1"/>
  <c r="I16" i="9" s="1"/>
  <c r="E15" i="9"/>
  <c r="K15" i="9" s="1"/>
  <c r="G15" i="9" s="1"/>
  <c r="I15" i="9" s="1"/>
  <c r="E14" i="9"/>
  <c r="K14" i="9" s="1"/>
  <c r="G14" i="9" s="1"/>
  <c r="I14" i="9" s="1"/>
  <c r="E13" i="9"/>
  <c r="K13" i="9" s="1"/>
  <c r="G13" i="9" s="1"/>
  <c r="I13" i="9" s="1"/>
  <c r="E12" i="9"/>
  <c r="K12" i="9" s="1"/>
  <c r="G12" i="9" s="1"/>
  <c r="I12" i="9" s="1"/>
  <c r="E11" i="9"/>
  <c r="K11" i="9" s="1"/>
  <c r="G11" i="9" s="1"/>
  <c r="I11" i="9" s="1"/>
  <c r="L7" i="9"/>
  <c r="B11" i="2"/>
  <c r="B8" i="2"/>
  <c r="J7" i="2"/>
  <c r="B7" i="2"/>
  <c r="H23" i="2"/>
  <c r="D23" i="2"/>
  <c r="D7" i="2" s="1"/>
  <c r="C23" i="2"/>
  <c r="C7" i="2" s="1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H14" i="2"/>
  <c r="D14" i="2"/>
  <c r="B14" i="2"/>
  <c r="E14" i="2" s="1"/>
  <c r="I14" i="2" s="1"/>
  <c r="G14" i="2" s="1"/>
  <c r="H13" i="2"/>
  <c r="D13" i="2"/>
  <c r="B13" i="2"/>
  <c r="H12" i="2"/>
  <c r="D12" i="2"/>
  <c r="B12" i="2"/>
  <c r="E12" i="2" s="1"/>
  <c r="I12" i="2" s="1"/>
  <c r="G12" i="2" s="1"/>
  <c r="H11" i="2"/>
  <c r="D11" i="2"/>
  <c r="K23" i="9" l="1"/>
  <c r="G23" i="9" s="1"/>
  <c r="I23" i="9" s="1"/>
  <c r="J7" i="9"/>
  <c r="C7" i="9"/>
  <c r="D7" i="9"/>
  <c r="I7" i="2"/>
  <c r="E23" i="2"/>
  <c r="E18" i="2"/>
  <c r="I18" i="2" s="1"/>
  <c r="E13" i="2"/>
  <c r="I13" i="2" s="1"/>
  <c r="E17" i="2"/>
  <c r="I17" i="2" s="1"/>
  <c r="E21" i="2"/>
  <c r="I21" i="2" s="1"/>
  <c r="G18" i="2"/>
  <c r="E7" i="2"/>
  <c r="G7" i="2" s="1"/>
  <c r="G13" i="2"/>
  <c r="G17" i="2"/>
  <c r="G21" i="2"/>
  <c r="E22" i="2"/>
  <c r="I22" i="2" s="1"/>
  <c r="G22" i="2" s="1"/>
  <c r="E15" i="2"/>
  <c r="I15" i="2" s="1"/>
  <c r="G15" i="2" s="1"/>
  <c r="E19" i="2"/>
  <c r="I19" i="2" s="1"/>
  <c r="G19" i="2" s="1"/>
  <c r="E8" i="2"/>
  <c r="E6" i="9"/>
  <c r="E14" i="1"/>
  <c r="E18" i="1"/>
  <c r="I31" i="3"/>
  <c r="I32" i="3"/>
  <c r="L6" i="1"/>
  <c r="G6" i="1"/>
  <c r="J6" i="1"/>
  <c r="E11" i="2" l="1"/>
  <c r="I11" i="2" s="1"/>
  <c r="I23" i="2" s="1"/>
  <c r="G11" i="2"/>
  <c r="G23" i="2" s="1"/>
  <c r="L30" i="1"/>
  <c r="J30" i="1"/>
  <c r="G27" i="1" l="1"/>
  <c r="G7" i="1"/>
  <c r="G30" i="1"/>
  <c r="N7" i="1" l="1"/>
  <c r="L27" i="1"/>
  <c r="L7" i="1" s="1"/>
  <c r="E26" i="1"/>
  <c r="L25" i="1"/>
  <c r="J25" i="1"/>
  <c r="G25" i="1"/>
  <c r="G26" i="1" s="1"/>
  <c r="L24" i="1"/>
  <c r="J24" i="1"/>
  <c r="G24" i="1"/>
  <c r="L23" i="1"/>
  <c r="J23" i="1"/>
  <c r="G23" i="1"/>
  <c r="E22" i="1"/>
  <c r="L21" i="1"/>
  <c r="J21" i="1"/>
  <c r="G21" i="1"/>
  <c r="L20" i="1"/>
  <c r="J20" i="1"/>
  <c r="J22" i="1" s="1"/>
  <c r="G20" i="1"/>
  <c r="L19" i="1"/>
  <c r="J19" i="1"/>
  <c r="G19" i="1"/>
  <c r="L17" i="1"/>
  <c r="J17" i="1"/>
  <c r="G17" i="1"/>
  <c r="L16" i="1"/>
  <c r="J16" i="1"/>
  <c r="G16" i="1"/>
  <c r="L15" i="1"/>
  <c r="L18" i="1" s="1"/>
  <c r="J15" i="1"/>
  <c r="G15" i="1"/>
  <c r="L13" i="1"/>
  <c r="J13" i="1"/>
  <c r="G13" i="1"/>
  <c r="L12" i="1"/>
  <c r="J12" i="1"/>
  <c r="G12" i="1"/>
  <c r="L11" i="1"/>
  <c r="J11" i="1"/>
  <c r="J14" i="1" s="1"/>
  <c r="G11" i="1"/>
  <c r="G14" i="1" s="1"/>
  <c r="E7" i="1"/>
  <c r="G18" i="1" l="1"/>
  <c r="H18" i="1" s="1"/>
  <c r="M18" i="1" s="1"/>
  <c r="K18" i="1" s="1"/>
  <c r="L14" i="1"/>
  <c r="J18" i="1"/>
  <c r="H14" i="1"/>
  <c r="M14" i="1" s="1"/>
  <c r="K14" i="1" s="1"/>
  <c r="H26" i="1"/>
  <c r="M26" i="1" s="1"/>
  <c r="K26" i="1" s="1"/>
  <c r="G22" i="1"/>
  <c r="H22" i="1" s="1"/>
  <c r="M22" i="1" s="1"/>
  <c r="J26" i="1"/>
  <c r="J27" i="1" s="1"/>
  <c r="J7" i="1" s="1"/>
  <c r="E8" i="1"/>
  <c r="L26" i="1"/>
  <c r="L22" i="1"/>
  <c r="K22" i="1" l="1"/>
  <c r="D46" i="3" l="1"/>
  <c r="O45" i="3"/>
  <c r="D8" i="1" l="1"/>
  <c r="D7" i="1" l="1"/>
  <c r="D6" i="1"/>
  <c r="B7" i="9"/>
  <c r="E7" i="9" s="1"/>
  <c r="K7" i="9" s="1"/>
  <c r="G7" i="9" s="1"/>
  <c r="H44" i="3"/>
  <c r="N44" i="3" s="1"/>
  <c r="L44" i="3" s="1"/>
  <c r="D45" i="3"/>
  <c r="D44" i="3"/>
  <c r="E31" i="3"/>
  <c r="B20" i="3"/>
  <c r="E20" i="3" s="1"/>
  <c r="G20" i="3" s="1"/>
  <c r="I20" i="3" s="1"/>
  <c r="E19" i="3"/>
  <c r="G19" i="3" s="1"/>
  <c r="I19" i="3" s="1"/>
  <c r="J7" i="3"/>
  <c r="B7" i="3"/>
  <c r="E7" i="3" s="1"/>
  <c r="E6" i="3"/>
  <c r="J6" i="3" s="1"/>
  <c r="I6" i="3" s="1"/>
  <c r="K7" i="3" l="1"/>
  <c r="I33" i="3" l="1"/>
  <c r="I8" i="2" l="1"/>
  <c r="J8" i="3"/>
  <c r="K8" i="9" l="1"/>
  <c r="B8" i="9" l="1"/>
  <c r="K6" i="9" l="1"/>
  <c r="G6" i="9" s="1"/>
  <c r="I6" i="9" s="1"/>
  <c r="E6" i="2"/>
  <c r="I6" i="2" s="1"/>
  <c r="B34" i="1"/>
  <c r="N46" i="3"/>
  <c r="G6" i="2" l="1"/>
  <c r="H6" i="1" l="1"/>
  <c r="M6" i="1" s="1"/>
  <c r="K6" i="1" l="1"/>
  <c r="M8" i="1" l="1"/>
  <c r="I21" i="3" l="1"/>
  <c r="B42" i="6" l="1"/>
  <c r="B42" i="5"/>
  <c r="B41" i="4"/>
  <c r="B50" i="3"/>
  <c r="B29" i="9"/>
  <c r="B29" i="2"/>
  <c r="H7" i="1" l="1"/>
  <c r="E45" i="3"/>
  <c r="H45" i="3" s="1"/>
  <c r="N45" i="3" s="1"/>
  <c r="M7" i="1" l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E46" i="3" l="1"/>
  <c r="H46" i="3" s="1"/>
  <c r="O46" i="3" s="1"/>
  <c r="L45" i="3"/>
  <c r="K7" i="1" l="1"/>
  <c r="J8" i="2" l="1"/>
  <c r="I7" i="9" l="1"/>
  <c r="B32" i="3" l="1"/>
  <c r="E32" i="3" s="1"/>
  <c r="J31" i="3"/>
</calcChain>
</file>

<file path=xl/sharedStrings.xml><?xml version="1.0" encoding="utf-8"?>
<sst xmlns="http://schemas.openxmlformats.org/spreadsheetml/2006/main" count="532" uniqueCount="208">
  <si>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</si>
  <si>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</si>
  <si>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</si>
  <si>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</si>
  <si>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</si>
  <si>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</si>
  <si>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</si>
  <si>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</si>
  <si>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</si>
  <si>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</si>
  <si>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</si>
  <si>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</si>
  <si>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</si>
  <si>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</si>
  <si>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</si>
  <si>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</si>
  <si>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</si>
  <si>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</si>
  <si>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</si>
  <si>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</si>
  <si>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</si>
  <si>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</si>
  <si>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</si>
  <si>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</si>
  <si>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</si>
  <si>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</si>
  <si>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</si>
  <si>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</si>
  <si>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</si>
  <si>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</si>
  <si>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</si>
  <si>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</si>
  <si>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</si>
  <si>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</si>
  <si>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</si>
  <si>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2022/23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</si>
  <si>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</si>
  <si>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</si>
  <si>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</si>
  <si>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</si>
  <si>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</si>
  <si>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</si>
  <si>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</si>
  <si>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</si>
  <si>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</si>
  <si>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</si>
  <si>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</si>
  <si>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</si>
  <si>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</si>
  <si>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>June</t>
  </si>
  <si>
    <t>July</t>
  </si>
  <si>
    <t>August</t>
  </si>
  <si>
    <t xml:space="preserve">  June–August</t>
  </si>
  <si>
    <t>2023/24</t>
  </si>
  <si>
    <t xml:space="preserve"> March-May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</si>
  <si>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</si>
  <si>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</si>
  <si>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</si>
  <si>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</si>
  <si>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</si>
  <si>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</si>
  <si>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</si>
  <si>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</si>
  <si>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</si>
  <si>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</si>
  <si>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</si>
  <si>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</si>
  <si>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</si>
  <si>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</si>
  <si>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</si>
  <si>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</si>
  <si>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</si>
  <si>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</si>
  <si>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</si>
  <si>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</si>
  <si>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</si>
  <si>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</si>
  <si>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</si>
  <si>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</si>
  <si>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</si>
  <si>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</si>
  <si>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</si>
  <si>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</si>
  <si>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</si>
  <si>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</si>
  <si>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</si>
  <si>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</si>
  <si>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</si>
  <si>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</si>
  <si>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</si>
  <si>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</si>
  <si>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</si>
  <si>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</si>
  <si>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</si>
  <si>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</si>
  <si>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</si>
  <si>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</si>
  <si>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</si>
  <si>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</si>
  <si>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</si>
  <si>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</si>
  <si>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</si>
  <si>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</si>
  <si>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</si>
  <si>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</si>
  <si>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</si>
  <si>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</si>
  <si>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</si>
  <si>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</si>
  <si>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</si>
  <si>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</si>
  <si>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</si>
  <si>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</si>
  <si>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</si>
  <si>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</si>
  <si>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</si>
  <si>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</si>
  <si>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</si>
  <si>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</si>
  <si>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</si>
  <si>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</si>
  <si>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</si>
  <si>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2023/24</t>
    </r>
    <r>
      <rPr>
        <vertAlign val="superscript"/>
        <sz val="11"/>
        <rFont val="Arial"/>
        <family val="2"/>
      </rPr>
      <t>4</t>
    </r>
  </si>
  <si>
    <r>
      <t>2024/25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</si>
  <si>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</si>
  <si>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</si>
  <si>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</si>
  <si>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</si>
  <si>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</si>
  <si>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</si>
  <si>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</si>
  <si>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</si>
  <si>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</si>
  <si>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</si>
  <si>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</si>
  <si>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</si>
  <si>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</si>
  <si>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</si>
  <si>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</si>
  <si>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</si>
  <si>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</si>
  <si>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</si>
  <si>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t>2024/25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</si>
  <si>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</si>
  <si>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</si>
  <si>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</si>
  <si>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</si>
  <si>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</si>
  <si>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</si>
  <si>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</si>
  <si>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</si>
  <si>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</si>
  <si>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</si>
  <si>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</si>
  <si>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</si>
  <si>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</si>
  <si>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</si>
  <si>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</si>
  <si>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2024/25</t>
  </si>
  <si>
    <t>Oct.</t>
  </si>
  <si>
    <t>Aug.</t>
  </si>
  <si>
    <t>Nov.</t>
  </si>
  <si>
    <t>Dec.</t>
  </si>
  <si>
    <t>Jan.</t>
  </si>
  <si>
    <t>Feb.</t>
  </si>
  <si>
    <t>Apr.</t>
  </si>
  <si>
    <t>Sep.</t>
  </si>
  <si>
    <t>Month</t>
  </si>
  <si>
    <t>Mar.</t>
  </si>
  <si>
    <t>Central Illinois average soybean prices at country elevators</t>
  </si>
  <si>
    <t>Soybean oil</t>
  </si>
  <si>
    <t>Canola oil</t>
  </si>
  <si>
    <t>Corn oil</t>
  </si>
  <si>
    <t>Tallow</t>
  </si>
  <si>
    <t>Grease</t>
  </si>
  <si>
    <t>Other fats</t>
  </si>
  <si>
    <t>Feedstock Usage for Production of Biomassed-Based Diesel</t>
  </si>
  <si>
    <t>India</t>
  </si>
  <si>
    <t>Mexico</t>
  </si>
  <si>
    <t>Colombia</t>
  </si>
  <si>
    <t>Dominican Republic</t>
  </si>
  <si>
    <t>South Korea</t>
  </si>
  <si>
    <t>Monthly date</t>
  </si>
  <si>
    <t>Crush margin</t>
  </si>
  <si>
    <t>Rest of world</t>
  </si>
  <si>
    <t>Monthly average prices</t>
  </si>
  <si>
    <t>Ending stocks, September 30</t>
  </si>
  <si>
    <t xml:space="preserve">Palm oil </t>
  </si>
  <si>
    <t xml:space="preserve">Rapeseed oil </t>
  </si>
  <si>
    <t xml:space="preserve">Soybean oil </t>
  </si>
  <si>
    <t xml:space="preserve">Sunflowerseed oil 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</si>
  <si>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</si>
  <si>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</si>
  <si>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</si>
  <si>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</si>
  <si>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</si>
  <si>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</si>
  <si>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</si>
  <si>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</si>
  <si>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2024/2025 Nov*</t>
  </si>
  <si>
    <t xml:space="preserve">2024/2025 Dec* </t>
  </si>
  <si>
    <t>Shares</t>
  </si>
  <si>
    <t>Soybean oil, FOB, U.S. Gulf</t>
  </si>
  <si>
    <t>Soybean oil, FOB, Argentina</t>
  </si>
  <si>
    <t>Palm oil RBD, FOB, Malaysia</t>
  </si>
  <si>
    <t>May 23</t>
  </si>
  <si>
    <t>May 24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</si>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</sst>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  <numFmt numFmtId="179" formatCode="mmm\-yyyy"/>
    <numFmt numFmtId="180" formatCode="_(* #,##0.0_);_(* \(#,##0.0\);_(* &quot;-&quot;_);_(@_)"/>
    <numFmt numFmtId="181" formatCode="mmm\.\ yy"/>
  </numFmts>
  <fonts count="1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40C28"/>
      <name val="Arial"/>
      <family val="2"/>
    </font>
    <font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394">
    <xf numFmtId="0" fontId="0" fillId="0" borderId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52" fillId="0" borderId="0"/>
    <xf numFmtId="0" fontId="52" fillId="0" borderId="0"/>
    <xf numFmtId="0" fontId="52" fillId="0" borderId="0"/>
    <xf numFmtId="0" fontId="63" fillId="0" borderId="0"/>
    <xf numFmtId="9" fontId="51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0" fontId="51" fillId="0" borderId="0"/>
    <xf numFmtId="0" fontId="65" fillId="0" borderId="0"/>
    <xf numFmtId="0" fontId="50" fillId="0" borderId="0"/>
    <xf numFmtId="0" fontId="49" fillId="0" borderId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43" fontId="47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5" fillId="0" borderId="0"/>
    <xf numFmtId="0" fontId="44" fillId="0" borderId="0"/>
    <xf numFmtId="43" fontId="44" fillId="0" borderId="0" applyFont="0" applyFill="0" applyBorder="0" applyAlignment="0" applyProtection="0"/>
    <xf numFmtId="0" fontId="43" fillId="0" borderId="0"/>
    <xf numFmtId="44" fontId="51" fillId="0" borderId="0" applyFont="0" applyFill="0" applyBorder="0" applyAlignment="0" applyProtection="0"/>
    <xf numFmtId="0" fontId="42" fillId="0" borderId="0"/>
    <xf numFmtId="0" fontId="41" fillId="0" borderId="0"/>
    <xf numFmtId="0" fontId="40" fillId="0" borderId="0"/>
    <xf numFmtId="0" fontId="39" fillId="0" borderId="0"/>
    <xf numFmtId="43" fontId="38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19" fillId="0" borderId="0"/>
    <xf numFmtId="0" fontId="18" fillId="0" borderId="0"/>
    <xf numFmtId="43" fontId="17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72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73" fillId="0" borderId="8" applyNumberFormat="0" applyFont="0" applyProtection="0">
      <alignment wrapText="1"/>
    </xf>
    <xf numFmtId="43" fontId="10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/>
    <xf numFmtId="0" fontId="73" fillId="0" borderId="0" applyNumberFormat="0" applyProtection="0">
      <alignment vertical="top" wrapText="1"/>
    </xf>
    <xf numFmtId="0" fontId="73" fillId="0" borderId="9" applyNumberFormat="0" applyProtection="0">
      <alignment vertical="top" wrapText="1"/>
    </xf>
    <xf numFmtId="0" fontId="75" fillId="0" borderId="7" applyNumberFormat="0" applyProtection="0">
      <alignment wrapText="1"/>
    </xf>
    <xf numFmtId="0" fontId="75" fillId="0" borderId="10" applyNumberFormat="0" applyProtection="0">
      <alignment horizontal="left" wrapText="1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11" applyNumberFormat="0" applyProtection="0">
      <alignment wrapText="1"/>
    </xf>
    <xf numFmtId="0" fontId="73" fillId="0" borderId="12" applyNumberFormat="0" applyFont="0" applyFill="0" applyProtection="0">
      <alignment wrapText="1"/>
    </xf>
    <xf numFmtId="0" fontId="75" fillId="0" borderId="13" applyNumberFormat="0" applyFill="0" applyProtection="0">
      <alignment wrapText="1"/>
    </xf>
    <xf numFmtId="0" fontId="77" fillId="0" borderId="0" applyNumberFormat="0" applyProtection="0">
      <alignment horizontal="left"/>
    </xf>
    <xf numFmtId="0" fontId="78" fillId="0" borderId="0" applyNumberFormat="0" applyFill="0" applyBorder="0" applyAlignment="0" applyProtection="0"/>
    <xf numFmtId="0" fontId="79" fillId="0" borderId="7" applyNumberFormat="0" applyFill="0" applyAlignment="0" applyProtection="0"/>
    <xf numFmtId="0" fontId="80" fillId="0" borderId="14" applyNumberFormat="0" applyFill="0" applyAlignment="0" applyProtection="0"/>
    <xf numFmtId="0" fontId="81" fillId="0" borderId="15" applyNumberFormat="0" applyFill="0" applyAlignment="0" applyProtection="0"/>
    <xf numFmtId="0" fontId="81" fillId="0" borderId="0" applyNumberFormat="0" applyFill="0" applyBorder="0" applyAlignment="0" applyProtection="0"/>
    <xf numFmtId="0" fontId="82" fillId="3" borderId="0" applyNumberFormat="0" applyBorder="0" applyAlignment="0" applyProtection="0"/>
    <xf numFmtId="0" fontId="83" fillId="4" borderId="0" applyNumberFormat="0" applyBorder="0" applyAlignment="0" applyProtection="0"/>
    <xf numFmtId="0" fontId="84" fillId="5" borderId="0" applyNumberFormat="0" applyBorder="0" applyAlignment="0" applyProtection="0"/>
    <xf numFmtId="0" fontId="85" fillId="6" borderId="16" applyNumberFormat="0" applyAlignment="0" applyProtection="0"/>
    <xf numFmtId="0" fontId="86" fillId="7" borderId="17" applyNumberFormat="0" applyAlignment="0" applyProtection="0"/>
    <xf numFmtId="0" fontId="87" fillId="7" borderId="16" applyNumberFormat="0" applyAlignment="0" applyProtection="0"/>
    <xf numFmtId="0" fontId="88" fillId="0" borderId="18" applyNumberFormat="0" applyFill="0" applyAlignment="0" applyProtection="0"/>
    <xf numFmtId="0" fontId="89" fillId="8" borderId="19" applyNumberFormat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1" applyNumberFormat="0" applyFill="0" applyAlignment="0" applyProtection="0"/>
    <xf numFmtId="0" fontId="9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1" fillId="55" borderId="32" applyNumberFormat="0" applyFont="0" applyAlignment="0" applyProtection="0"/>
    <xf numFmtId="0" fontId="51" fillId="55" borderId="40" applyNumberFormat="0" applyFont="0" applyAlignment="0" applyProtection="0"/>
    <xf numFmtId="0" fontId="103" fillId="52" borderId="39" applyNumberFormat="0" applyAlignment="0" applyProtection="0"/>
    <xf numFmtId="0" fontId="9" fillId="9" borderId="20" applyNumberFormat="0" applyFont="0" applyAlignment="0" applyProtection="0"/>
    <xf numFmtId="0" fontId="103" fillId="52" borderId="31" applyNumberFormat="0" applyAlignment="0" applyProtection="0"/>
    <xf numFmtId="0" fontId="94" fillId="0" borderId="0"/>
    <xf numFmtId="0" fontId="9" fillId="23" borderId="0" applyNumberFormat="0" applyBorder="0" applyAlignment="0" applyProtection="0"/>
    <xf numFmtId="0" fontId="9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3" fillId="33" borderId="0" applyNumberFormat="0" applyBorder="0" applyAlignment="0" applyProtection="0"/>
    <xf numFmtId="43" fontId="96" fillId="0" borderId="0" applyFont="0" applyFill="0" applyBorder="0" applyAlignment="0" applyProtection="0"/>
    <xf numFmtId="0" fontId="93" fillId="29" borderId="0" applyNumberFormat="0" applyBorder="0" applyAlignment="0" applyProtection="0"/>
    <xf numFmtId="43" fontId="9" fillId="0" borderId="0" applyFont="0" applyFill="0" applyBorder="0" applyAlignment="0" applyProtection="0"/>
    <xf numFmtId="0" fontId="93" fillId="25" borderId="0" applyNumberFormat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3" fillId="21" borderId="0" applyNumberFormat="0" applyBorder="0" applyAlignment="0" applyProtection="0"/>
    <xf numFmtId="43" fontId="96" fillId="0" borderId="0" applyFont="0" applyFill="0" applyBorder="0" applyAlignment="0" applyProtection="0"/>
    <xf numFmtId="0" fontId="93" fillId="17" borderId="0" applyNumberFormat="0" applyBorder="0" applyAlignment="0" applyProtection="0"/>
    <xf numFmtId="43" fontId="96" fillId="0" borderId="0" applyFont="0" applyFill="0" applyBorder="0" applyAlignment="0" applyProtection="0"/>
    <xf numFmtId="0" fontId="93" fillId="13" borderId="0" applyNumberFormat="0" applyBorder="0" applyAlignment="0" applyProtection="0"/>
    <xf numFmtId="43" fontId="96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7" fillId="5" borderId="0" applyNumberFormat="0" applyBorder="0" applyAlignment="0" applyProtection="0"/>
    <xf numFmtId="0" fontId="94" fillId="0" borderId="0"/>
    <xf numFmtId="0" fontId="94" fillId="0" borderId="0"/>
    <xf numFmtId="0" fontId="51" fillId="0" borderId="0">
      <alignment vertical="center"/>
    </xf>
    <xf numFmtId="0" fontId="9" fillId="0" borderId="0"/>
    <xf numFmtId="0" fontId="9" fillId="9" borderId="20" applyNumberFormat="0" applyFont="0" applyAlignment="0" applyProtection="0"/>
    <xf numFmtId="0" fontId="98" fillId="0" borderId="0" applyNumberFormat="0" applyFill="0" applyBorder="0" applyAlignment="0" applyProtection="0"/>
    <xf numFmtId="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99" fillId="0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3" fillId="21" borderId="0" applyNumberFormat="0" applyBorder="0" applyAlignment="0" applyProtection="0"/>
    <xf numFmtId="0" fontId="93" fillId="25" borderId="0" applyNumberFormat="0" applyBorder="0" applyAlignment="0" applyProtection="0"/>
    <xf numFmtId="0" fontId="93" fillId="33" borderId="0" applyNumberFormat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" fillId="0" borderId="0"/>
    <xf numFmtId="0" fontId="94" fillId="0" borderId="0"/>
    <xf numFmtId="0" fontId="99" fillId="0" borderId="0"/>
    <xf numFmtId="0" fontId="9" fillId="0" borderId="0"/>
    <xf numFmtId="0" fontId="9" fillId="9" borderId="20" applyNumberFormat="0" applyFont="0" applyAlignment="0" applyProtection="0"/>
    <xf numFmtId="0" fontId="9" fillId="9" borderId="20" applyNumberFormat="0" applyFont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93" fillId="21" borderId="0" applyNumberFormat="0" applyBorder="0" applyAlignment="0" applyProtection="0"/>
    <xf numFmtId="0" fontId="93" fillId="25" borderId="0" applyNumberFormat="0" applyBorder="0" applyAlignment="0" applyProtection="0"/>
    <xf numFmtId="0" fontId="93" fillId="33" borderId="0" applyNumberFormat="0" applyBorder="0" applyAlignment="0" applyProtection="0"/>
    <xf numFmtId="0" fontId="9" fillId="0" borderId="0"/>
    <xf numFmtId="0" fontId="9" fillId="9" borderId="20" applyNumberFormat="0" applyFont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0" borderId="0" applyNumberFormat="0" applyBorder="0" applyAlignment="0" applyProtection="0"/>
    <xf numFmtId="43" fontId="9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9" borderId="20" applyNumberFormat="0" applyFont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101" fillId="44" borderId="0" applyNumberFormat="0" applyBorder="0" applyAlignment="0" applyProtection="0"/>
    <xf numFmtId="0" fontId="101" fillId="41" borderId="0" applyNumberFormat="0" applyBorder="0" applyAlignment="0" applyProtection="0"/>
    <xf numFmtId="0" fontId="101" fillId="42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50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1" fillId="51" borderId="0" applyNumberFormat="0" applyBorder="0" applyAlignment="0" applyProtection="0"/>
    <xf numFmtId="0" fontId="102" fillId="35" borderId="0" applyNumberFormat="0" applyBorder="0" applyAlignment="0" applyProtection="0"/>
    <xf numFmtId="0" fontId="103" fillId="52" borderId="22" applyNumberFormat="0" applyAlignment="0" applyProtection="0"/>
    <xf numFmtId="0" fontId="104" fillId="53" borderId="23" applyNumberFormat="0" applyAlignment="0" applyProtection="0"/>
    <xf numFmtId="43" fontId="51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36" borderId="0" applyNumberFormat="0" applyBorder="0" applyAlignment="0" applyProtection="0"/>
    <xf numFmtId="0" fontId="107" fillId="0" borderId="24" applyNumberFormat="0" applyFill="0" applyAlignment="0" applyProtection="0"/>
    <xf numFmtId="0" fontId="108" fillId="0" borderId="25" applyNumberFormat="0" applyFill="0" applyAlignment="0" applyProtection="0"/>
    <xf numFmtId="0" fontId="109" fillId="0" borderId="26" applyNumberFormat="0" applyFill="0" applyAlignment="0" applyProtection="0"/>
    <xf numFmtId="0" fontId="109" fillId="0" borderId="0" applyNumberFormat="0" applyFill="0" applyBorder="0" applyAlignment="0" applyProtection="0"/>
    <xf numFmtId="0" fontId="110" fillId="39" borderId="22" applyNumberFormat="0" applyAlignment="0" applyProtection="0"/>
    <xf numFmtId="0" fontId="111" fillId="0" borderId="27" applyNumberFormat="0" applyFill="0" applyAlignment="0" applyProtection="0"/>
    <xf numFmtId="0" fontId="112" fillId="54" borderId="0" applyNumberFormat="0" applyBorder="0" applyAlignment="0" applyProtection="0"/>
    <xf numFmtId="0" fontId="51" fillId="0" borderId="0"/>
    <xf numFmtId="0" fontId="51" fillId="55" borderId="28" applyNumberFormat="0" applyFont="0" applyAlignment="0" applyProtection="0"/>
    <xf numFmtId="0" fontId="51" fillId="55" borderId="28" applyNumberFormat="0" applyFont="0" applyAlignment="0" applyProtection="0"/>
    <xf numFmtId="0" fontId="113" fillId="52" borderId="29" applyNumberFormat="0" applyAlignment="0" applyProtection="0"/>
    <xf numFmtId="9" fontId="51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30" applyNumberFormat="0" applyFill="0" applyAlignment="0" applyProtection="0"/>
    <xf numFmtId="0" fontId="116" fillId="0" borderId="0" applyNumberFormat="0" applyFill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4" fillId="0" borderId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0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9" borderId="20" applyNumberFormat="0" applyFont="0" applyAlignment="0" applyProtection="0"/>
    <xf numFmtId="0" fontId="98" fillId="0" borderId="0" applyNumberFormat="0" applyFill="0" applyBorder="0" applyAlignment="0" applyProtection="0"/>
    <xf numFmtId="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9" borderId="20" applyNumberFormat="0" applyFont="0" applyAlignment="0" applyProtection="0"/>
    <xf numFmtId="0" fontId="9" fillId="9" borderId="20" applyNumberFormat="0" applyFont="0" applyAlignment="0" applyProtection="0"/>
    <xf numFmtId="0" fontId="9" fillId="0" borderId="0"/>
    <xf numFmtId="0" fontId="9" fillId="9" borderId="20" applyNumberFormat="0" applyFont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0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9" borderId="20" applyNumberFormat="0" applyFont="0" applyAlignment="0" applyProtection="0"/>
    <xf numFmtId="0" fontId="110" fillId="39" borderId="39" applyNumberFormat="0" applyAlignment="0" applyProtection="0"/>
    <xf numFmtId="0" fontId="51" fillId="55" borderId="36" applyNumberFormat="0" applyFont="0" applyAlignment="0" applyProtection="0"/>
    <xf numFmtId="0" fontId="113" fillId="52" borderId="37" applyNumberFormat="0" applyAlignment="0" applyProtection="0"/>
    <xf numFmtId="0" fontId="113" fillId="52" borderId="41" applyNumberFormat="0" applyAlignment="0" applyProtection="0"/>
    <xf numFmtId="0" fontId="115" fillId="0" borderId="42" applyNumberFormat="0" applyFill="0" applyAlignment="0" applyProtection="0"/>
    <xf numFmtId="0" fontId="115" fillId="0" borderId="34" applyNumberFormat="0" applyFill="0" applyAlignment="0" applyProtection="0"/>
    <xf numFmtId="0" fontId="51" fillId="55" borderId="40" applyNumberFormat="0" applyFont="0" applyAlignment="0" applyProtection="0"/>
    <xf numFmtId="0" fontId="103" fillId="52" borderId="35" applyNumberFormat="0" applyAlignment="0" applyProtection="0"/>
    <xf numFmtId="0" fontId="51" fillId="55" borderId="32" applyNumberFormat="0" applyFont="0" applyAlignment="0" applyProtection="0"/>
    <xf numFmtId="0" fontId="115" fillId="0" borderId="38" applyNumberFormat="0" applyFill="0" applyAlignment="0" applyProtection="0"/>
    <xf numFmtId="0" fontId="110" fillId="39" borderId="31" applyNumberFormat="0" applyAlignment="0" applyProtection="0"/>
    <xf numFmtId="0" fontId="51" fillId="55" borderId="36" applyNumberFormat="0" applyFont="0" applyAlignment="0" applyProtection="0"/>
    <xf numFmtId="0" fontId="113" fillId="52" borderId="33" applyNumberFormat="0" applyAlignment="0" applyProtection="0"/>
    <xf numFmtId="0" fontId="110" fillId="39" borderId="35" applyNumberFormat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52" fillId="0" borderId="0" xfId="8"/>
    <xf numFmtId="0" fontId="53" fillId="0" borderId="0" xfId="8" applyFont="1"/>
    <xf numFmtId="0" fontId="58" fillId="0" borderId="0" xfId="8" applyFont="1"/>
    <xf numFmtId="0" fontId="59" fillId="0" borderId="0" xfId="8" applyFont="1"/>
    <xf numFmtId="169" fontId="60" fillId="0" borderId="0" xfId="1" applyNumberFormat="1" applyFont="1" applyFill="1" applyBorder="1" applyAlignment="1">
      <alignment horizontal="center"/>
    </xf>
    <xf numFmtId="169" fontId="60" fillId="0" borderId="0" xfId="1" applyNumberFormat="1" applyFont="1" applyFill="1" applyBorder="1" applyAlignment="1">
      <alignment horizontal="right" indent="1"/>
    </xf>
    <xf numFmtId="0" fontId="66" fillId="0" borderId="0" xfId="7" applyFont="1" applyAlignment="1">
      <alignment horizontal="left"/>
    </xf>
    <xf numFmtId="0" fontId="67" fillId="0" borderId="0" xfId="5" applyFont="1" applyAlignment="1" applyProtection="1"/>
    <xf numFmtId="14" fontId="66" fillId="0" borderId="0" xfId="7" applyNumberFormat="1" applyFont="1" applyAlignment="1">
      <alignment horizontal="left"/>
    </xf>
    <xf numFmtId="0" fontId="67" fillId="0" borderId="0" xfId="4" applyFont="1" applyAlignment="1" applyProtection="1"/>
    <xf numFmtId="0" fontId="60" fillId="0" borderId="0" xfId="7" quotePrefix="1" applyFont="1" applyAlignment="1">
      <alignment horizontal="left"/>
    </xf>
    <xf numFmtId="0" fontId="60" fillId="0" borderId="0" xfId="8" applyFont="1" applyAlignment="1">
      <alignment wrapText="1"/>
    </xf>
    <xf numFmtId="169" fontId="60" fillId="0" borderId="0" xfId="1" applyNumberFormat="1" applyFont="1" applyFill="1" applyBorder="1" applyAlignment="1">
      <alignment horizontal="right"/>
    </xf>
    <xf numFmtId="0" fontId="60" fillId="0" borderId="1" xfId="0" applyFont="1" applyBorder="1"/>
    <xf numFmtId="0" fontId="60" fillId="0" borderId="0" xfId="0" applyFont="1"/>
    <xf numFmtId="0" fontId="60" fillId="0" borderId="2" xfId="0" applyFont="1" applyBorder="1" applyAlignment="1">
      <alignment horizontal="right"/>
    </xf>
    <xf numFmtId="0" fontId="60" fillId="0" borderId="0" xfId="0" applyFont="1" applyAlignment="1">
      <alignment horizontal="center"/>
    </xf>
    <xf numFmtId="0" fontId="0" fillId="0" borderId="2" xfId="0" applyBorder="1"/>
    <xf numFmtId="0" fontId="60" fillId="0" borderId="2" xfId="0" applyFont="1" applyBorder="1" applyAlignment="1">
      <alignment horizontal="left"/>
    </xf>
    <xf numFmtId="0" fontId="60" fillId="0" borderId="0" xfId="0" applyFont="1" applyAlignment="1">
      <alignment horizontal="right"/>
    </xf>
    <xf numFmtId="16" fontId="60" fillId="0" borderId="1" xfId="0" quotePrefix="1" applyNumberFormat="1" applyFont="1" applyBorder="1"/>
    <xf numFmtId="16" fontId="60" fillId="0" borderId="1" xfId="0" applyNumberFormat="1" applyFont="1" applyBorder="1"/>
    <xf numFmtId="0" fontId="60" fillId="0" borderId="1" xfId="0" applyFont="1" applyBorder="1" applyAlignment="1">
      <alignment horizontal="center"/>
    </xf>
    <xf numFmtId="0" fontId="60" fillId="0" borderId="1" xfId="0" applyFont="1" applyBorder="1" applyAlignment="1">
      <alignment horizontal="right"/>
    </xf>
    <xf numFmtId="0" fontId="60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1" fillId="0" borderId="0" xfId="0" quotePrefix="1" applyFont="1" applyAlignment="1">
      <alignment horizontal="right"/>
    </xf>
    <xf numFmtId="164" fontId="60" fillId="0" borderId="0" xfId="1" applyNumberFormat="1" applyFont="1" applyFill="1" applyBorder="1"/>
    <xf numFmtId="164" fontId="60" fillId="0" borderId="0" xfId="1" applyNumberFormat="1" applyFont="1" applyFill="1" applyBorder="1" applyAlignment="1">
      <alignment horizontal="right"/>
    </xf>
    <xf numFmtId="0" fontId="66" fillId="0" borderId="0" xfId="0" applyFont="1"/>
    <xf numFmtId="169" fontId="60" fillId="0" borderId="0" xfId="1" quotePrefix="1" applyNumberFormat="1" applyFont="1" applyFill="1" applyBorder="1" applyAlignment="1">
      <alignment horizontal="right"/>
    </xf>
    <xf numFmtId="164" fontId="60" fillId="0" borderId="0" xfId="1" applyNumberFormat="1" applyFont="1" applyFill="1" applyBorder="1" applyAlignment="1">
      <alignment horizontal="center"/>
    </xf>
    <xf numFmtId="164" fontId="60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60" fillId="0" borderId="0" xfId="1" applyNumberFormat="1" applyFont="1" applyFill="1"/>
    <xf numFmtId="14" fontId="60" fillId="0" borderId="0" xfId="0" applyNumberFormat="1" applyFont="1" applyAlignment="1">
      <alignment horizontal="left"/>
    </xf>
    <xf numFmtId="3" fontId="60" fillId="0" borderId="0" xfId="1" applyNumberFormat="1" applyFont="1" applyFill="1" applyAlignment="1">
      <alignment horizontal="right" indent="1"/>
    </xf>
    <xf numFmtId="3" fontId="60" fillId="0" borderId="0" xfId="1" applyNumberFormat="1" applyFont="1" applyFill="1" applyAlignment="1">
      <alignment horizontal="center"/>
    </xf>
    <xf numFmtId="169" fontId="60" fillId="0" borderId="0" xfId="1" applyNumberFormat="1" applyFont="1" applyFill="1" applyBorder="1" applyAlignment="1">
      <alignment horizontal="right" indent="2"/>
    </xf>
    <xf numFmtId="0" fontId="62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0" fillId="0" borderId="1" xfId="1" applyNumberFormat="1" applyFont="1" applyFill="1" applyBorder="1" applyAlignment="1">
      <alignment horizontal="right"/>
    </xf>
    <xf numFmtId="16" fontId="60" fillId="0" borderId="0" xfId="0" applyNumberFormat="1" applyFont="1"/>
    <xf numFmtId="0" fontId="61" fillId="0" borderId="0" xfId="0" applyFont="1" applyAlignment="1">
      <alignment horizontal="center"/>
    </xf>
    <xf numFmtId="2" fontId="60" fillId="0" borderId="0" xfId="0" applyNumberFormat="1" applyFont="1" applyAlignment="1">
      <alignment horizontal="right" indent="2"/>
    </xf>
    <xf numFmtId="43" fontId="60" fillId="0" borderId="0" xfId="1" quotePrefix="1" applyFont="1" applyFill="1" applyBorder="1" applyAlignment="1">
      <alignment horizontal="center"/>
    </xf>
    <xf numFmtId="166" fontId="60" fillId="0" borderId="0" xfId="1" quotePrefix="1" applyNumberFormat="1" applyFont="1" applyFill="1" applyBorder="1" applyAlignment="1">
      <alignment horizontal="center"/>
    </xf>
    <xf numFmtId="43" fontId="60" fillId="0" borderId="0" xfId="1" applyFont="1" applyFill="1" applyBorder="1" applyAlignment="1">
      <alignment horizontal="center"/>
    </xf>
    <xf numFmtId="0" fontId="66" fillId="0" borderId="0" xfId="0" quotePrefix="1" applyFont="1"/>
    <xf numFmtId="0" fontId="60" fillId="0" borderId="0" xfId="0" applyFont="1" applyAlignment="1">
      <alignment horizontal="left"/>
    </xf>
    <xf numFmtId="0" fontId="60" fillId="0" borderId="0" xfId="0" applyFont="1" applyAlignment="1">
      <alignment horizontal="left" indent="1"/>
    </xf>
    <xf numFmtId="0" fontId="60" fillId="0" borderId="3" xfId="0" applyFont="1" applyBorder="1" applyAlignment="1">
      <alignment horizontal="center"/>
    </xf>
    <xf numFmtId="0" fontId="60" fillId="0" borderId="1" xfId="0" applyFont="1" applyBorder="1" applyAlignment="1">
      <alignment horizontal="left"/>
    </xf>
    <xf numFmtId="0" fontId="61" fillId="0" borderId="3" xfId="0" quotePrefix="1" applyFont="1" applyBorder="1"/>
    <xf numFmtId="0" fontId="61" fillId="0" borderId="3" xfId="0" applyFont="1" applyBorder="1"/>
    <xf numFmtId="2" fontId="60" fillId="0" borderId="0" xfId="0" applyNumberFormat="1" applyFont="1" applyAlignment="1">
      <alignment horizontal="center"/>
    </xf>
    <xf numFmtId="43" fontId="60" fillId="0" borderId="0" xfId="0" applyNumberFormat="1" applyFont="1"/>
    <xf numFmtId="0" fontId="55" fillId="0" borderId="0" xfId="0" applyFont="1"/>
    <xf numFmtId="2" fontId="0" fillId="0" borderId="0" xfId="0" applyNumberFormat="1"/>
    <xf numFmtId="165" fontId="60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4" fillId="0" borderId="0" xfId="0" applyFont="1" applyAlignment="1">
      <alignment vertical="center"/>
    </xf>
    <xf numFmtId="2" fontId="60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0" fillId="0" borderId="3" xfId="0" applyFont="1" applyBorder="1"/>
    <xf numFmtId="165" fontId="60" fillId="0" borderId="0" xfId="1" applyNumberFormat="1" applyFont="1" applyFill="1"/>
    <xf numFmtId="37" fontId="60" fillId="0" borderId="0" xfId="1" applyNumberFormat="1" applyFont="1" applyFill="1" applyBorder="1" applyAlignment="1">
      <alignment horizontal="center"/>
    </xf>
    <xf numFmtId="165" fontId="60" fillId="0" borderId="0" xfId="1" applyNumberFormat="1" applyFont="1" applyFill="1" applyBorder="1"/>
    <xf numFmtId="9" fontId="60" fillId="0" borderId="0" xfId="12" applyFont="1" applyFill="1"/>
    <xf numFmtId="0" fontId="61" fillId="0" borderId="4" xfId="0" applyFont="1" applyBorder="1" applyAlignment="1">
      <alignment horizontal="center"/>
    </xf>
    <xf numFmtId="14" fontId="60" fillId="0" borderId="0" xfId="0" applyNumberFormat="1" applyFont="1" applyAlignment="1">
      <alignment horizontal="right" indent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vertical="center" wrapText="1"/>
    </xf>
    <xf numFmtId="169" fontId="60" fillId="0" borderId="0" xfId="1" applyNumberFormat="1" applyFont="1" applyFill="1" applyAlignment="1">
      <alignment horizontal="center"/>
    </xf>
    <xf numFmtId="0" fontId="62" fillId="0" borderId="3" xfId="0" applyFont="1" applyBorder="1"/>
    <xf numFmtId="164" fontId="60" fillId="0" borderId="3" xfId="0" applyNumberFormat="1" applyFont="1" applyBorder="1"/>
    <xf numFmtId="171" fontId="0" fillId="0" borderId="0" xfId="1" applyNumberFormat="1" applyFont="1" applyFill="1" applyBorder="1"/>
    <xf numFmtId="0" fontId="51" fillId="0" borderId="0" xfId="8" applyFont="1"/>
    <xf numFmtId="0" fontId="51" fillId="0" borderId="0" xfId="0" applyFont="1"/>
    <xf numFmtId="4" fontId="69" fillId="0" borderId="0" xfId="0" applyNumberFormat="1" applyFont="1"/>
    <xf numFmtId="172" fontId="55" fillId="0" borderId="0" xfId="12" applyNumberFormat="1" applyFont="1" applyFill="1"/>
    <xf numFmtId="4" fontId="0" fillId="0" borderId="0" xfId="0" applyNumberFormat="1"/>
    <xf numFmtId="173" fontId="69" fillId="0" borderId="0" xfId="0" applyNumberFormat="1" applyFont="1"/>
    <xf numFmtId="2" fontId="68" fillId="0" borderId="0" xfId="0" applyNumberFormat="1" applyFont="1" applyAlignment="1">
      <alignment horizontal="center"/>
    </xf>
    <xf numFmtId="37" fontId="60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68" fillId="0" borderId="0" xfId="0" applyNumberFormat="1" applyFont="1" applyAlignment="1">
      <alignment horizontal="right" indent="2"/>
    </xf>
    <xf numFmtId="9" fontId="0" fillId="0" borderId="0" xfId="12" applyFont="1"/>
    <xf numFmtId="3" fontId="68" fillId="0" borderId="0" xfId="1" applyNumberFormat="1" applyFont="1" applyFill="1" applyBorder="1" applyAlignment="1">
      <alignment horizontal="right"/>
    </xf>
    <xf numFmtId="3" fontId="51" fillId="0" borderId="0" xfId="0" applyNumberFormat="1" applyFon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60" fillId="0" borderId="0" xfId="1" applyNumberFormat="1" applyFont="1" applyAlignment="1">
      <alignment horizontal="right" indent="1"/>
    </xf>
    <xf numFmtId="167" fontId="60" fillId="0" borderId="0" xfId="0" applyNumberFormat="1" applyFont="1"/>
    <xf numFmtId="169" fontId="68" fillId="0" borderId="0" xfId="1" applyNumberFormat="1" applyFont="1" applyFill="1" applyBorder="1" applyAlignment="1">
      <alignment horizontal="right" indent="1"/>
    </xf>
    <xf numFmtId="0" fontId="70" fillId="0" borderId="0" xfId="0" applyFont="1"/>
    <xf numFmtId="169" fontId="60" fillId="0" borderId="0" xfId="1" applyNumberFormat="1" applyFont="1" applyFill="1" applyAlignment="1">
      <alignment horizontal="right" indent="1"/>
    </xf>
    <xf numFmtId="164" fontId="68" fillId="0" borderId="0" xfId="1" applyNumberFormat="1" applyFont="1"/>
    <xf numFmtId="169" fontId="60" fillId="2" borderId="0" xfId="1" applyNumberFormat="1" applyFont="1" applyFill="1" applyBorder="1" applyAlignment="1">
      <alignment horizontal="right" indent="2"/>
    </xf>
    <xf numFmtId="169" fontId="60" fillId="2" borderId="0" xfId="1" applyNumberFormat="1" applyFont="1" applyFill="1" applyBorder="1" applyAlignment="1">
      <alignment horizontal="right" indent="1"/>
    </xf>
    <xf numFmtId="169" fontId="71" fillId="0" borderId="0" xfId="1" applyNumberFormat="1" applyFont="1" applyFill="1" applyBorder="1" applyAlignment="1">
      <alignment horizontal="right"/>
    </xf>
    <xf numFmtId="169" fontId="68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0" fillId="0" borderId="3" xfId="0" applyNumberFormat="1" applyFont="1" applyBorder="1"/>
    <xf numFmtId="0" fontId="0" fillId="0" borderId="3" xfId="0" applyBorder="1"/>
    <xf numFmtId="168" fontId="60" fillId="0" borderId="3" xfId="0" applyNumberFormat="1" applyFont="1" applyBorder="1"/>
    <xf numFmtId="0" fontId="61" fillId="0" borderId="3" xfId="0" quotePrefix="1" applyFont="1" applyBorder="1" applyAlignment="1">
      <alignment horizontal="center"/>
    </xf>
    <xf numFmtId="177" fontId="0" fillId="0" borderId="0" xfId="0" applyNumberFormat="1"/>
    <xf numFmtId="178" fontId="0" fillId="0" borderId="0" xfId="0" applyNumberFormat="1"/>
    <xf numFmtId="167" fontId="60" fillId="0" borderId="0" xfId="0" applyNumberFormat="1" applyFont="1" applyAlignment="1">
      <alignment horizontal="center"/>
    </xf>
    <xf numFmtId="165" fontId="60" fillId="0" borderId="0" xfId="1" applyNumberFormat="1" applyFont="1" applyFill="1" applyAlignment="1">
      <alignment horizontal="left"/>
    </xf>
    <xf numFmtId="165" fontId="60" fillId="0" borderId="0" xfId="1" applyNumberFormat="1" applyFont="1" applyFill="1" applyAlignment="1">
      <alignment horizontal="center"/>
    </xf>
    <xf numFmtId="3" fontId="60" fillId="0" borderId="0" xfId="1" applyNumberFormat="1" applyFont="1" applyFill="1" applyBorder="1" applyAlignment="1">
      <alignment horizontal="right" indent="1"/>
    </xf>
    <xf numFmtId="3" fontId="69" fillId="0" borderId="0" xfId="0" applyNumberFormat="1" applyFont="1"/>
    <xf numFmtId="173" fontId="0" fillId="0" borderId="0" xfId="0" applyNumberFormat="1"/>
    <xf numFmtId="3" fontId="68" fillId="0" borderId="0" xfId="1" applyNumberFormat="1" applyFont="1" applyFill="1" applyAlignment="1">
      <alignment horizontal="right" indent="1"/>
    </xf>
    <xf numFmtId="37" fontId="60" fillId="0" borderId="0" xfId="1" applyNumberFormat="1" applyFont="1" applyFill="1" applyBorder="1" applyAlignment="1">
      <alignment horizontal="right" indent="2"/>
    </xf>
    <xf numFmtId="37" fontId="60" fillId="0" borderId="0" xfId="1" applyNumberFormat="1" applyFont="1" applyFill="1" applyBorder="1" applyAlignment="1">
      <alignment horizontal="right" indent="1"/>
    </xf>
    <xf numFmtId="37" fontId="60" fillId="0" borderId="0" xfId="1" applyNumberFormat="1" applyFont="1" applyFill="1" applyAlignment="1">
      <alignment horizontal="center"/>
    </xf>
    <xf numFmtId="37" fontId="60" fillId="0" borderId="0" xfId="0" applyNumberFormat="1" applyFont="1"/>
    <xf numFmtId="1" fontId="60" fillId="0" borderId="0" xfId="0" applyNumberFormat="1" applyFont="1" applyAlignment="1">
      <alignment horizontal="center"/>
    </xf>
    <xf numFmtId="170" fontId="60" fillId="0" borderId="0" xfId="0" applyNumberFormat="1" applyFont="1"/>
    <xf numFmtId="165" fontId="0" fillId="0" borderId="0" xfId="1" applyNumberFormat="1" applyFont="1" applyAlignment="1">
      <alignment horizontal="left" indent="1"/>
    </xf>
    <xf numFmtId="0" fontId="60" fillId="0" borderId="0" xfId="20" applyFont="1"/>
    <xf numFmtId="17" fontId="60" fillId="0" borderId="0" xfId="20" applyNumberFormat="1" applyFont="1" applyAlignment="1">
      <alignment horizontal="left"/>
    </xf>
    <xf numFmtId="2" fontId="60" fillId="2" borderId="0" xfId="0" applyNumberFormat="1" applyFont="1" applyFill="1" applyAlignment="1">
      <alignment horizontal="right" indent="2"/>
    </xf>
    <xf numFmtId="0" fontId="60" fillId="2" borderId="0" xfId="0" applyFont="1" applyFill="1"/>
    <xf numFmtId="164" fontId="68" fillId="0" borderId="0" xfId="1" applyNumberFormat="1" applyFont="1" applyFill="1"/>
    <xf numFmtId="172" fontId="60" fillId="0" borderId="0" xfId="12" applyNumberFormat="1" applyFont="1" applyFill="1" applyBorder="1"/>
    <xf numFmtId="2" fontId="60" fillId="0" borderId="0" xfId="12" applyNumberFormat="1" applyFont="1" applyFill="1" applyBorder="1"/>
    <xf numFmtId="167" fontId="117" fillId="0" borderId="0" xfId="0" applyNumberFormat="1" applyFont="1"/>
    <xf numFmtId="0" fontId="118" fillId="0" borderId="0" xfId="387" applyFont="1"/>
    <xf numFmtId="179" fontId="51" fillId="0" borderId="0" xfId="20" applyNumberFormat="1"/>
    <xf numFmtId="1" fontId="118" fillId="0" borderId="0" xfId="387" applyNumberFormat="1" applyFont="1"/>
    <xf numFmtId="9" fontId="118" fillId="0" borderId="0" xfId="12" applyFont="1"/>
    <xf numFmtId="172" fontId="118" fillId="0" borderId="0" xfId="12" applyNumberFormat="1" applyFont="1"/>
    <xf numFmtId="169" fontId="68" fillId="0" borderId="0" xfId="1" applyNumberFormat="1" applyFont="1" applyFill="1" applyAlignment="1">
      <alignment horizontal="right" indent="1"/>
    </xf>
    <xf numFmtId="165" fontId="60" fillId="0" borderId="0" xfId="20" applyNumberFormat="1" applyFont="1" applyAlignment="1">
      <alignment horizontal="left"/>
    </xf>
    <xf numFmtId="0" fontId="60" fillId="0" borderId="2" xfId="0" applyFont="1" applyBorder="1" applyAlignment="1">
      <alignment horizontal="center"/>
    </xf>
    <xf numFmtId="0" fontId="61" fillId="0" borderId="3" xfId="0" applyFont="1" applyBorder="1" applyAlignment="1">
      <alignment horizontal="center"/>
    </xf>
    <xf numFmtId="0" fontId="51" fillId="0" borderId="0" xfId="0" applyFont="1" applyAlignment="1">
      <alignment horizontal="left"/>
    </xf>
    <xf numFmtId="2" fontId="70" fillId="0" borderId="0" xfId="0" applyNumberFormat="1" applyFont="1"/>
    <xf numFmtId="165" fontId="0" fillId="0" borderId="0" xfId="0" applyNumberFormat="1"/>
    <xf numFmtId="3" fontId="0" fillId="0" borderId="0" xfId="0" applyNumberFormat="1"/>
    <xf numFmtId="37" fontId="60" fillId="0" borderId="1" xfId="1" applyNumberFormat="1" applyFont="1" applyFill="1" applyBorder="1" applyAlignment="1">
      <alignment horizontal="center"/>
    </xf>
    <xf numFmtId="37" fontId="60" fillId="0" borderId="1" xfId="1" applyNumberFormat="1" applyFont="1" applyFill="1" applyBorder="1" applyAlignment="1">
      <alignment horizontal="right" indent="2"/>
    </xf>
    <xf numFmtId="165" fontId="60" fillId="0" borderId="1" xfId="1" applyNumberFormat="1" applyFont="1" applyFill="1" applyBorder="1"/>
    <xf numFmtId="37" fontId="60" fillId="0" borderId="1" xfId="1" applyNumberFormat="1" applyFont="1" applyFill="1" applyBorder="1" applyAlignment="1">
      <alignment horizontal="right" indent="1"/>
    </xf>
    <xf numFmtId="1" fontId="60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5" fontId="60" fillId="0" borderId="0" xfId="20" applyNumberFormat="1" applyFont="1"/>
    <xf numFmtId="165" fontId="0" fillId="0" borderId="0" xfId="1" applyNumberFormat="1" applyFont="1"/>
    <xf numFmtId="0" fontId="118" fillId="0" borderId="0" xfId="392" applyFont="1"/>
    <xf numFmtId="1" fontId="118" fillId="0" borderId="0" xfId="392" applyNumberFormat="1" applyFont="1"/>
    <xf numFmtId="0" fontId="51" fillId="0" borderId="0" xfId="20"/>
    <xf numFmtId="0" fontId="119" fillId="0" borderId="1" xfId="393" applyFont="1" applyBorder="1" applyAlignment="1">
      <alignment horizontal="center" wrapText="1"/>
    </xf>
    <xf numFmtId="17" fontId="51" fillId="0" borderId="0" xfId="20" applyNumberFormat="1" applyAlignment="1">
      <alignment horizontal="left"/>
    </xf>
    <xf numFmtId="180" fontId="118" fillId="0" borderId="0" xfId="33" applyNumberFormat="1" applyFont="1" applyFill="1" applyAlignment="1">
      <alignment horizontal="center" vertical="center"/>
    </xf>
    <xf numFmtId="0" fontId="51" fillId="0" borderId="0" xfId="20" applyAlignment="1">
      <alignment horizontal="center"/>
    </xf>
    <xf numFmtId="1" fontId="51" fillId="0" borderId="0" xfId="20" applyNumberFormat="1"/>
    <xf numFmtId="0" fontId="120" fillId="0" borderId="0" xfId="0" applyFont="1"/>
    <xf numFmtId="167" fontId="60" fillId="2" borderId="0" xfId="0" applyNumberFormat="1" applyFont="1" applyFill="1" applyAlignment="1">
      <alignment horizontal="center"/>
    </xf>
    <xf numFmtId="165" fontId="60" fillId="2" borderId="0" xfId="1" applyNumberFormat="1" applyFont="1" applyFill="1" applyAlignment="1">
      <alignment horizontal="left"/>
    </xf>
    <xf numFmtId="165" fontId="60" fillId="2" borderId="0" xfId="1" applyNumberFormat="1" applyFont="1" applyFill="1" applyAlignment="1">
      <alignment horizontal="center"/>
    </xf>
    <xf numFmtId="3" fontId="60" fillId="2" borderId="0" xfId="1" applyNumberFormat="1" applyFont="1" applyFill="1" applyBorder="1" applyAlignment="1">
      <alignment horizontal="right" indent="1"/>
    </xf>
    <xf numFmtId="165" fontId="68" fillId="2" borderId="0" xfId="1" applyNumberFormat="1" applyFont="1" applyFill="1" applyAlignment="1">
      <alignment horizontal="center"/>
    </xf>
    <xf numFmtId="0" fontId="0" fillId="2" borderId="0" xfId="0" applyFill="1"/>
    <xf numFmtId="165" fontId="0" fillId="2" borderId="0" xfId="0" applyNumberFormat="1" applyFill="1"/>
    <xf numFmtId="0" fontId="51" fillId="2" borderId="0" xfId="0" applyFont="1" applyFill="1"/>
    <xf numFmtId="164" fontId="60" fillId="2" borderId="0" xfId="1" applyNumberFormat="1" applyFont="1" applyFill="1" applyBorder="1" applyAlignment="1">
      <alignment horizontal="center"/>
    </xf>
    <xf numFmtId="169" fontId="60" fillId="2" borderId="0" xfId="1" applyNumberFormat="1" applyFont="1" applyFill="1" applyBorder="1" applyAlignment="1">
      <alignment horizontal="right"/>
    </xf>
    <xf numFmtId="169" fontId="60" fillId="2" borderId="0" xfId="1" quotePrefix="1" applyNumberFormat="1" applyFont="1" applyFill="1" applyBorder="1" applyAlignment="1">
      <alignment horizontal="right"/>
    </xf>
    <xf numFmtId="174" fontId="0" fillId="2" borderId="0" xfId="0" applyNumberFormat="1" applyFill="1"/>
    <xf numFmtId="164" fontId="68" fillId="0" borderId="0" xfId="1" applyNumberFormat="1" applyFont="1" applyFill="1" applyAlignment="1">
      <alignment horizontal="right"/>
    </xf>
    <xf numFmtId="3" fontId="60" fillId="0" borderId="0" xfId="1" applyNumberFormat="1" applyFont="1" applyFill="1" applyAlignment="1">
      <alignment horizontal="right"/>
    </xf>
    <xf numFmtId="0" fontId="58" fillId="0" borderId="43" xfId="0" applyFont="1" applyBorder="1"/>
    <xf numFmtId="43" fontId="0" fillId="0" borderId="0" xfId="1" applyFont="1"/>
    <xf numFmtId="181" fontId="0" fillId="0" borderId="0" xfId="0" applyNumberFormat="1"/>
    <xf numFmtId="49" fontId="51" fillId="0" borderId="0" xfId="0" applyNumberFormat="1" applyFont="1" applyAlignment="1">
      <alignment horizontal="right"/>
    </xf>
    <xf numFmtId="0" fontId="119" fillId="0" borderId="0" xfId="387" applyFont="1"/>
    <xf numFmtId="0" fontId="119" fillId="0" borderId="43" xfId="387" applyFont="1" applyBorder="1" applyAlignment="1">
      <alignment horizontal="center" wrapText="1"/>
    </xf>
    <xf numFmtId="0" fontId="92" fillId="0" borderId="43" xfId="20" applyFont="1" applyBorder="1"/>
    <xf numFmtId="0" fontId="119" fillId="0" borderId="43" xfId="387" applyFont="1" applyBorder="1"/>
    <xf numFmtId="0" fontId="66" fillId="0" borderId="43" xfId="20" applyFont="1" applyBorder="1" applyAlignment="1">
      <alignment wrapText="1"/>
    </xf>
    <xf numFmtId="0" fontId="66" fillId="0" borderId="43" xfId="20" applyFont="1" applyBorder="1"/>
    <xf numFmtId="17" fontId="66" fillId="0" borderId="43" xfId="20" applyNumberFormat="1" applyFont="1" applyBorder="1" applyAlignment="1">
      <alignment horizontal="left"/>
    </xf>
    <xf numFmtId="165" fontId="66" fillId="0" borderId="43" xfId="1" applyNumberFormat="1" applyFont="1" applyFill="1" applyBorder="1" applyAlignment="1">
      <alignment horizontal="left"/>
    </xf>
    <xf numFmtId="0" fontId="119" fillId="0" borderId="43" xfId="392" applyFont="1" applyBorder="1" applyAlignment="1">
      <alignment horizontal="center" wrapText="1"/>
    </xf>
    <xf numFmtId="1" fontId="119" fillId="0" borderId="43" xfId="392" applyNumberFormat="1" applyFont="1" applyBorder="1" applyAlignment="1">
      <alignment horizontal="center" wrapText="1"/>
    </xf>
    <xf numFmtId="181" fontId="51" fillId="0" borderId="0" xfId="20" applyNumberFormat="1"/>
    <xf numFmtId="3" fontId="60" fillId="0" borderId="0" xfId="1" applyNumberFormat="1" applyFont="1" applyFill="1" applyAlignment="1">
      <alignment horizontal="right" indent="2"/>
    </xf>
    <xf numFmtId="0" fontId="60" fillId="0" borderId="2" xfId="0" applyFont="1" applyBorder="1" applyAlignment="1">
      <alignment horizontal="center"/>
    </xf>
    <xf numFmtId="0" fontId="61" fillId="0" borderId="3" xfId="0" applyFont="1" applyBorder="1" applyAlignment="1">
      <alignment horizontal="center"/>
    </xf>
    <xf numFmtId="0" fontId="61" fillId="0" borderId="2" xfId="0" quotePrefix="1" applyFont="1" applyBorder="1" applyAlignment="1">
      <alignment horizontal="center"/>
    </xf>
    <xf numFmtId="0" fontId="61" fillId="0" borderId="5" xfId="0" quotePrefix="1" applyFont="1" applyBorder="1" applyAlignment="1">
      <alignment horizontal="center"/>
    </xf>
    <xf numFmtId="0" fontId="61" fillId="0" borderId="6" xfId="0" applyFont="1" applyBorder="1" applyAlignment="1">
      <alignment horizontal="center"/>
    </xf>
    <xf numFmtId="0" fontId="61" fillId="0" borderId="2" xfId="0" applyFont="1" applyBorder="1" applyAlignment="1">
      <alignment horizontal="center"/>
    </xf>
    <xf numFmtId="0" fontId="61" fillId="0" borderId="5" xfId="0" applyFont="1" applyBorder="1" applyAlignment="1">
      <alignment horizontal="center"/>
    </xf>
  </cellXfs>
  <cellStyles count="394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3" xfId="243" xr:uid="{DFAACE0A-DDD2-4424-B740-BFF9BF44F6DE}"/>
    <cellStyle name="20% - Accent1 2 3 2" xfId="356" xr:uid="{89AF0E59-C980-4D73-AD5F-E64685BF5A39}"/>
    <cellStyle name="20% - Accent1 2 4" xfId="311" xr:uid="{83F36799-25DE-43C1-8B40-C38E43B06862}"/>
    <cellStyle name="20% - Accent1 3" xfId="176" xr:uid="{32B0355E-6EDE-4BFF-8288-D97DAF58BA3D}"/>
    <cellStyle name="20% - Accent1 3 2" xfId="323" xr:uid="{8B8A3324-DDA2-4DDC-A40B-277C58DF2E59}"/>
    <cellStyle name="20% - Accent1 4" xfId="252" xr:uid="{7CEC33F6-0A54-4986-816D-B5CD86F3443E}"/>
    <cellStyle name="20% - Accent1 5" xfId="298" xr:uid="{81C6ED3D-ADA8-4DD1-AB90-65CBC92DDD4E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3" xfId="244" xr:uid="{50C5342E-7F4E-4DA0-8BB2-B9DC64C75676}"/>
    <cellStyle name="20% - Accent2 2 3 2" xfId="357" xr:uid="{A9E457CE-E606-46C1-BAD6-9F04036F9737}"/>
    <cellStyle name="20% - Accent2 2 4" xfId="312" xr:uid="{A2CC103D-9803-49B7-AFE1-C11F6B1DCEA6}"/>
    <cellStyle name="20% - Accent2 3" xfId="178" xr:uid="{6C171EA5-10E1-4380-B85D-BD9AB947C93B}"/>
    <cellStyle name="20% - Accent2 3 2" xfId="325" xr:uid="{8D668A50-5F39-4645-A90D-54BF2D4958AE}"/>
    <cellStyle name="20% - Accent2 4" xfId="253" xr:uid="{237A4AE0-05DB-4BBC-9FC6-21F8CB9985F9}"/>
    <cellStyle name="20% - Accent2 5" xfId="300" xr:uid="{C5ABCD5F-0592-416F-9073-4C31AB0B7D76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3" xfId="245" xr:uid="{2125FD0B-95F0-4249-A4C0-85785EC5E189}"/>
    <cellStyle name="20% - Accent3 2 3 2" xfId="358" xr:uid="{A7994EDF-6D4F-4DD2-AA80-E7ECD9EC5D2A}"/>
    <cellStyle name="20% - Accent3 2 4" xfId="313" xr:uid="{A392E008-3993-4913-9A74-2289F3F558F7}"/>
    <cellStyle name="20% - Accent3 3" xfId="180" xr:uid="{AE82C847-78D6-4B97-8441-AA51646614B2}"/>
    <cellStyle name="20% - Accent3 3 2" xfId="327" xr:uid="{E4842C73-CF9A-46A7-A8D4-C720BAFECC2A}"/>
    <cellStyle name="20% - Accent3 4" xfId="254" xr:uid="{40569062-D533-4274-94AE-C7B495BBBAF4}"/>
    <cellStyle name="20% - Accent3 5" xfId="302" xr:uid="{75FC9417-6D6F-4BEC-BBB5-1652C952A4F2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3" xfId="246" xr:uid="{838D636A-4D49-422F-90B8-C14A3182ECA3}"/>
    <cellStyle name="20% - Accent4 2 3 2" xfId="359" xr:uid="{2D26635D-7002-48A3-80B5-01782ECEA560}"/>
    <cellStyle name="20% - Accent4 2 4" xfId="314" xr:uid="{413645D3-3617-43F7-8ECE-552A73C745C5}"/>
    <cellStyle name="20% - Accent4 3" xfId="182" xr:uid="{77FDE77B-07DD-4466-9C33-45F5E347F898}"/>
    <cellStyle name="20% - Accent4 3 2" xfId="329" xr:uid="{930BA819-24FD-4A10-BCCB-54EEAB1CF8E2}"/>
    <cellStyle name="20% - Accent4 4" xfId="255" xr:uid="{334DB917-1D99-4C5B-BA46-F86B4E671325}"/>
    <cellStyle name="20% - Accent4 5" xfId="304" xr:uid="{2A33F46A-D1F4-4B8C-A158-560DBF1B8215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3" xfId="236" xr:uid="{40BC7363-BC63-477D-A10D-0F2E3F55AA99}"/>
    <cellStyle name="20% - Accent5 3 2" xfId="350" xr:uid="{8732B83C-2480-4354-8CF6-248EE2B9ADCC}"/>
    <cellStyle name="20% - Accent5 4" xfId="256" xr:uid="{51945EF0-DD1C-4DB0-B69C-82333019E54F}"/>
    <cellStyle name="20% - Accent5 5" xfId="306" xr:uid="{546C1E55-CAAA-4E78-BCC7-72F62F6CC03E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3" xfId="238" xr:uid="{7DBFE8B8-91F0-4793-ABE2-D608172D3176}"/>
    <cellStyle name="20% - Accent6 3 2" xfId="352" xr:uid="{A0B804D4-E275-4465-9F36-8E5FDA8D4B68}"/>
    <cellStyle name="20% - Accent6 4" xfId="257" xr:uid="{B7EE85F8-3FF2-474C-BBAE-44ACD6D57C35}"/>
    <cellStyle name="20% - Accent6 5" xfId="308" xr:uid="{68BBBA63-83F4-44A7-B274-B556A530E939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3" xfId="233" xr:uid="{8C33CEFE-CC5C-41A1-839B-2AAF91F0C1D8}"/>
    <cellStyle name="40% - Accent1 3 2" xfId="347" xr:uid="{5ED618F1-0BEC-46B3-A47C-4FA55A325B90}"/>
    <cellStyle name="40% - Accent1 4" xfId="258" xr:uid="{8B777513-D1B3-4C8B-8CE8-8107E98F2BC1}"/>
    <cellStyle name="40% - Accent1 5" xfId="299" xr:uid="{7827FBB3-A345-4F9A-88F9-27F0AB5A21E0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3" xfId="234" xr:uid="{B4CFA444-0118-42F0-9897-949B6223DBF9}"/>
    <cellStyle name="40% - Accent2 3 2" xfId="348" xr:uid="{F3A1CBFD-6F73-46AD-AB1A-D32E4FD21EA8}"/>
    <cellStyle name="40% - Accent2 4" xfId="259" xr:uid="{549F399D-1062-428D-9AC8-FBC8557D9F48}"/>
    <cellStyle name="40% - Accent2 5" xfId="301" xr:uid="{67B23B7D-1D29-42DA-970E-0A43CCBCC567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3" xfId="247" xr:uid="{A2DEB99B-97E6-4EF4-9FD3-29FEFC420526}"/>
    <cellStyle name="40% - Accent3 2 3 2" xfId="360" xr:uid="{02EDD4DA-104B-4770-ABD1-B23BB75CFE57}"/>
    <cellStyle name="40% - Accent3 2 4" xfId="315" xr:uid="{50109117-B1D7-416F-85D2-1905AC7D5D35}"/>
    <cellStyle name="40% - Accent3 3" xfId="188" xr:uid="{9C3CF690-7980-4ECA-8F06-921AB199361D}"/>
    <cellStyle name="40% - Accent3 3 2" xfId="335" xr:uid="{CEBB930C-DF9D-4C47-895D-3C9ED9C9EAA8}"/>
    <cellStyle name="40% - Accent3 4" xfId="260" xr:uid="{80304610-2D8E-4B30-B34D-D8A71CE05920}"/>
    <cellStyle name="40% - Accent3 5" xfId="303" xr:uid="{199ED734-CD86-4C36-AE44-313B54D2560E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3" xfId="235" xr:uid="{22417DB5-E2A1-4D00-B201-B53B427D4D20}"/>
    <cellStyle name="40% - Accent4 3 2" xfId="349" xr:uid="{9A1C5949-45A2-4555-9F6D-FB14F3F248CA}"/>
    <cellStyle name="40% - Accent4 4" xfId="261" xr:uid="{4C8A0805-8AA3-4DB1-98CB-F31F9359EDB0}"/>
    <cellStyle name="40% - Accent4 5" xfId="305" xr:uid="{4B251191-154A-40E7-A5B0-F5FE257BE24F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3" xfId="237" xr:uid="{F38E99A5-6F6D-4DC6-BAEE-A13B30749A74}"/>
    <cellStyle name="40% - Accent5 3 2" xfId="351" xr:uid="{48002B42-4D23-4F44-847A-76BC1AF48B43}"/>
    <cellStyle name="40% - Accent5 4" xfId="262" xr:uid="{B47CD729-C3F7-4D30-A7E7-18FCFB9384B7}"/>
    <cellStyle name="40% - Accent5 5" xfId="307" xr:uid="{BF2053DF-5B31-4B9D-B385-CCAD6C7690C1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3" xfId="239" xr:uid="{88061550-1FA6-4BD2-B11A-00A693901AF5}"/>
    <cellStyle name="40% - Accent6 3 2" xfId="353" xr:uid="{152B9510-68A0-49D7-8915-5D25E0B9BF37}"/>
    <cellStyle name="40% - Accent6 4" xfId="263" xr:uid="{10120615-3E3F-4139-B9C5-3692E7333EF1}"/>
    <cellStyle name="40% - Accent6 5" xfId="309" xr:uid="{85E09836-C196-48D4-9646-6C568398DFDF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3" xfId="241" xr:uid="{09364125-AA71-40DB-B3C6-6BFD41F7464D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3" xfId="203" xr:uid="{89AB8884-F733-449C-AE7A-12097AC2A627}"/>
    <cellStyle name="Comma 2 3" xfId="248" xr:uid="{BA8E939A-B93A-4154-91FB-F6AF914A8C02}"/>
    <cellStyle name="Comma 2 3 2" xfId="361" xr:uid="{F1ED8589-0281-46E3-B46B-177F35A05B8D}"/>
    <cellStyle name="Comma 2 4" xfId="279" xr:uid="{3681BAD9-AD19-4234-B953-6B890ACD5432}"/>
    <cellStyle name="Comma 2 5" xfId="316" xr:uid="{0C178AA8-28C5-4254-B134-FAA54793A4FC}"/>
    <cellStyle name="Comma 2 6" xfId="154" xr:uid="{F70197A6-DA58-43B6-943A-AD1DCB6219F8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3" xfId="204" xr:uid="{64B597EF-614B-48C9-9308-DFFB65FAF00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3" xfId="250" xr:uid="{946EAB2F-3003-438D-AECA-E36A970A2718}"/>
    <cellStyle name="Normal 6 3 2" xfId="362" xr:uid="{12BACF06-EA48-4382-91FB-563037CC3A6F}"/>
    <cellStyle name="Normal 6 4" xfId="289" xr:uid="{0EC8BBF7-2579-442B-B652-39916CBF4B7C}"/>
    <cellStyle name="Normal 6 5" xfId="317" xr:uid="{2E522AAE-3A43-4D85-9BC9-D75DF67CA993}"/>
    <cellStyle name="Normal 6 6" xfId="169" xr:uid="{808CEDD4-B41F-4D2C-982F-C9996D1BAA59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3" xfId="215" xr:uid="{6F223409-C652-4E49-AD52-D3363DDC15E9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3" xfId="251" xr:uid="{FD29B074-0975-4C84-B020-F6AFF1851528}"/>
    <cellStyle name="Note 2 3 2" xfId="363" xr:uid="{50FF0CC4-B61A-4B7C-A7A5-65EFC15AC715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5" xfId="318" xr:uid="{B3F27023-4B65-487D-85FA-119154F7A601}"/>
    <cellStyle name="Note 3" xfId="217" xr:uid="{A7C0021F-FA46-4B96-89A8-7F34D94EC6D7}"/>
    <cellStyle name="Note 3 2" xfId="344" xr:uid="{C8A3A4EC-5754-4556-B45B-E9F0EB3392A3}"/>
    <cellStyle name="Note 4" xfId="232" xr:uid="{674244FC-6EC5-411F-89FA-4B0E9038DE2A}"/>
    <cellStyle name="Note 4 2" xfId="346" xr:uid="{476131BE-25DB-416D-A65E-21EF7F48DC69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6" xfId="143" xr:uid="{76A629B7-C611-430C-B43D-08A666E8CF1D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9429FF"/>
      <color rgb="FF0000FF"/>
      <color rgb="FF00B050"/>
      <color rgb="FFFFCC66"/>
      <color rgb="FFFFFF00"/>
      <color rgb="FFC0502F"/>
      <color rgb="FFFFCF01"/>
      <color rgb="FFFA6400"/>
      <color rgb="FFFFD9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1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Central Illinois average soybean prices at country elevators, MY 2021/22–2024/25</a:t>
            </a:r>
            <a:endParaRPr lang="en-US" sz="4400" b="1">
              <a:effectLst/>
            </a:endParaRPr>
          </a:p>
        </c:rich>
      </c:tx>
      <c:layout>
        <c:manualLayout>
          <c:xMode val="edge"/>
          <c:yMode val="edge"/>
          <c:x val="1.1356877879811603E-2"/>
          <c:y val="7.5477476310225635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179747166129879E-2"/>
          <c:y val="0.20875227633582838"/>
          <c:w val="0.86017756334112982"/>
          <c:h val="0.56793104565633001"/>
        </c:manualLayout>
      </c:layout>
      <c:lineChart>
        <c:grouping val="standard"/>
        <c:varyColors val="0"/>
        <c:ser>
          <c:idx val="2"/>
          <c:order val="0"/>
          <c:tx>
            <c:strRef>
              <c:f>'Figure 1'!$B$2</c:f>
              <c:strCache>
                <c:ptCount val="1"/>
                <c:pt idx="0">
                  <c:v>2021/22</c:v>
                </c:pt>
              </c:strCache>
            </c:strRef>
          </c:tx>
          <c:cat>
            <c:strRef>
              <c:f>'Figure 1'!$A$3:$A$14</c:f>
              <c:strCache>
                <c:ptCount val="12"/>
                <c:pt idx="0">
                  <c:v>Sep.</c:v>
                </c:pt>
                <c:pt idx="1">
                  <c:v>Oct.</c:v>
                </c:pt>
                <c:pt idx="2">
                  <c:v>Nov.</c:v>
                </c:pt>
                <c:pt idx="3">
                  <c:v>Dec.</c:v>
                </c:pt>
                <c:pt idx="4">
                  <c:v>Jan.</c:v>
                </c:pt>
                <c:pt idx="5">
                  <c:v>Feb.</c:v>
                </c:pt>
                <c:pt idx="6">
                  <c:v>Mar.</c:v>
                </c:pt>
                <c:pt idx="7">
                  <c:v>Apr.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Aug.</c:v>
                </c:pt>
              </c:strCache>
            </c:strRef>
          </c:cat>
          <c:val>
            <c:numRef>
              <c:f>'Figure 1'!$B$3:$B$14</c:f>
              <c:numCache>
                <c:formatCode>General</c:formatCode>
                <c:ptCount val="12"/>
                <c:pt idx="0">
                  <c:v>12.49</c:v>
                </c:pt>
                <c:pt idx="1">
                  <c:v>11.99</c:v>
                </c:pt>
                <c:pt idx="2">
                  <c:v>12.19</c:v>
                </c:pt>
                <c:pt idx="3">
                  <c:v>12.73</c:v>
                </c:pt>
                <c:pt idx="4">
                  <c:v>13.81</c:v>
                </c:pt>
                <c:pt idx="5">
                  <c:v>15.68</c:v>
                </c:pt>
                <c:pt idx="6">
                  <c:v>16.53</c:v>
                </c:pt>
                <c:pt idx="7">
                  <c:v>16.73</c:v>
                </c:pt>
                <c:pt idx="8">
                  <c:v>16.79</c:v>
                </c:pt>
                <c:pt idx="9">
                  <c:v>17.13</c:v>
                </c:pt>
                <c:pt idx="10">
                  <c:v>15.43</c:v>
                </c:pt>
                <c:pt idx="11">
                  <c:v>15.56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C8-48CD-8C91-F600296606B7}"/>
            </c:ext>
          </c:extLst>
        </c:ser>
        <c:ser>
          <c:idx val="5"/>
          <c:order val="1"/>
          <c:tx>
            <c:strRef>
              <c:f>'Figure 1'!$C$2</c:f>
              <c:strCache>
                <c:ptCount val="1"/>
                <c:pt idx="0">
                  <c:v>2022/23</c:v>
                </c:pt>
              </c:strCache>
            </c:strRef>
          </c:tx>
          <c:cat>
            <c:strRef>
              <c:f>'Figure 1'!$A$3:$A$14</c:f>
              <c:strCache>
                <c:ptCount val="12"/>
                <c:pt idx="0">
                  <c:v>Sep.</c:v>
                </c:pt>
                <c:pt idx="1">
                  <c:v>Oct.</c:v>
                </c:pt>
                <c:pt idx="2">
                  <c:v>Nov.</c:v>
                </c:pt>
                <c:pt idx="3">
                  <c:v>Dec.</c:v>
                </c:pt>
                <c:pt idx="4">
                  <c:v>Jan.</c:v>
                </c:pt>
                <c:pt idx="5">
                  <c:v>Feb.</c:v>
                </c:pt>
                <c:pt idx="6">
                  <c:v>Mar.</c:v>
                </c:pt>
                <c:pt idx="7">
                  <c:v>Apr.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Aug.</c:v>
                </c:pt>
              </c:strCache>
            </c:strRef>
          </c:cat>
          <c:val>
            <c:numRef>
              <c:f>'Figure 1'!$C$3:$C$14</c:f>
              <c:numCache>
                <c:formatCode>General</c:formatCode>
                <c:ptCount val="12"/>
                <c:pt idx="0">
                  <c:v>14.74</c:v>
                </c:pt>
                <c:pt idx="1">
                  <c:v>13.45</c:v>
                </c:pt>
                <c:pt idx="2">
                  <c:v>14.14</c:v>
                </c:pt>
                <c:pt idx="3">
                  <c:v>14.57</c:v>
                </c:pt>
                <c:pt idx="4">
                  <c:v>14.86</c:v>
                </c:pt>
                <c:pt idx="5">
                  <c:v>15.09</c:v>
                </c:pt>
                <c:pt idx="6">
                  <c:v>14.74</c:v>
                </c:pt>
                <c:pt idx="7">
                  <c:v>14.72</c:v>
                </c:pt>
                <c:pt idx="8">
                  <c:v>13.79</c:v>
                </c:pt>
                <c:pt idx="9">
                  <c:v>14.2</c:v>
                </c:pt>
                <c:pt idx="10">
                  <c:v>14.89</c:v>
                </c:pt>
                <c:pt idx="11">
                  <c:v>13.97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C8-48CD-8C91-F600296606B7}"/>
            </c:ext>
          </c:extLst>
        </c:ser>
        <c:ser>
          <c:idx val="0"/>
          <c:order val="2"/>
          <c:tx>
            <c:strRef>
              <c:f>'Figure 1'!$D$2</c:f>
              <c:strCache>
                <c:ptCount val="1"/>
                <c:pt idx="0">
                  <c:v>2023/24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'Figure 1'!$A$3:$A$14</c:f>
              <c:strCache>
                <c:ptCount val="12"/>
                <c:pt idx="0">
                  <c:v>Sep.</c:v>
                </c:pt>
                <c:pt idx="1">
                  <c:v>Oct.</c:v>
                </c:pt>
                <c:pt idx="2">
                  <c:v>Nov.</c:v>
                </c:pt>
                <c:pt idx="3">
                  <c:v>Dec.</c:v>
                </c:pt>
                <c:pt idx="4">
                  <c:v>Jan.</c:v>
                </c:pt>
                <c:pt idx="5">
                  <c:v>Feb.</c:v>
                </c:pt>
                <c:pt idx="6">
                  <c:v>Mar.</c:v>
                </c:pt>
                <c:pt idx="7">
                  <c:v>Apr.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Aug.</c:v>
                </c:pt>
              </c:strCache>
            </c:strRef>
          </c:cat>
          <c:val>
            <c:numRef>
              <c:f>'Figure 1'!$D$3:$D$14</c:f>
              <c:numCache>
                <c:formatCode>General</c:formatCode>
                <c:ptCount val="12"/>
                <c:pt idx="0">
                  <c:v>12.96</c:v>
                </c:pt>
                <c:pt idx="1">
                  <c:v>12.43</c:v>
                </c:pt>
                <c:pt idx="2">
                  <c:v>13.09</c:v>
                </c:pt>
                <c:pt idx="3">
                  <c:v>12.73</c:v>
                </c:pt>
                <c:pt idx="4">
                  <c:v>12.05</c:v>
                </c:pt>
                <c:pt idx="5">
                  <c:v>11.45</c:v>
                </c:pt>
                <c:pt idx="6">
                  <c:v>11.57</c:v>
                </c:pt>
                <c:pt idx="7">
                  <c:v>11.42</c:v>
                </c:pt>
                <c:pt idx="8">
                  <c:v>11.94</c:v>
                </c:pt>
                <c:pt idx="9">
                  <c:v>11.55</c:v>
                </c:pt>
                <c:pt idx="10">
                  <c:v>11.12</c:v>
                </c:pt>
                <c:pt idx="11">
                  <c:v>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C8-48CD-8C91-F600296606B7}"/>
            </c:ext>
          </c:extLst>
        </c:ser>
        <c:ser>
          <c:idx val="1"/>
          <c:order val="3"/>
          <c:tx>
            <c:strRef>
              <c:f>'Figure 1'!$E$2</c:f>
              <c:strCache>
                <c:ptCount val="1"/>
                <c:pt idx="0">
                  <c:v>2024/25</c:v>
                </c:pt>
              </c:strCache>
            </c:strRef>
          </c:tx>
          <c:cat>
            <c:strRef>
              <c:f>'Figure 1'!$A$3:$A$14</c:f>
              <c:strCache>
                <c:ptCount val="12"/>
                <c:pt idx="0">
                  <c:v>Sep.</c:v>
                </c:pt>
                <c:pt idx="1">
                  <c:v>Oct.</c:v>
                </c:pt>
                <c:pt idx="2">
                  <c:v>Nov.</c:v>
                </c:pt>
                <c:pt idx="3">
                  <c:v>Dec.</c:v>
                </c:pt>
                <c:pt idx="4">
                  <c:v>Jan.</c:v>
                </c:pt>
                <c:pt idx="5">
                  <c:v>Feb.</c:v>
                </c:pt>
                <c:pt idx="6">
                  <c:v>Mar.</c:v>
                </c:pt>
                <c:pt idx="7">
                  <c:v>Apr.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Aug.</c:v>
                </c:pt>
              </c:strCache>
            </c:strRef>
          </c:cat>
          <c:val>
            <c:numRef>
              <c:f>'Figure 1'!$E$3:$E$14</c:f>
              <c:numCache>
                <c:formatCode>General</c:formatCode>
                <c:ptCount val="12"/>
                <c:pt idx="0">
                  <c:v>9.8000000000000007</c:v>
                </c:pt>
                <c:pt idx="1">
                  <c:v>9.64</c:v>
                </c:pt>
                <c:pt idx="2">
                  <c:v>9.67</c:v>
                </c:pt>
                <c:pt idx="3">
                  <c:v>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C8-48CD-8C91-F60029660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bushel</a:t>
                </a:r>
              </a:p>
            </c:rich>
          </c:tx>
          <c:layout>
            <c:manualLayout>
              <c:xMode val="edge"/>
              <c:yMode val="edge"/>
              <c:x val="2.2668163079390615E-3"/>
              <c:y val="0.128108254202778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2230379376974041"/>
          <c:y val="9.086922958159642E-2"/>
          <c:w val="0.51684776650202224"/>
          <c:h val="4.8069703312402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/>
            </a:pPr>
            <a:r>
              <a:rPr lang="en-US" sz="1000" b="1" i="0" baseline="0">
                <a:effectLst/>
              </a:rPr>
              <a:t>Crush margin in Central Illinois and monthly crush, September 2022–October 2024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8.4768800065120997E-4"/>
          <c:y val="3.57229659068930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45002265539589E-2"/>
          <c:y val="0.19481067960680953"/>
          <c:w val="0.86668074748211765"/>
          <c:h val="0.543168107847523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2'!$A$2:$A$27</c:f>
              <c:strCache>
                <c:ptCount val="26"/>
                <c:pt idx="0">
                  <c:v>Sep. 22</c:v>
                </c:pt>
                <c:pt idx="1">
                  <c:v>Oct. 22</c:v>
                </c:pt>
                <c:pt idx="2">
                  <c:v>Nov. 22</c:v>
                </c:pt>
                <c:pt idx="3">
                  <c:v>Dec. 22</c:v>
                </c:pt>
                <c:pt idx="4">
                  <c:v>Jan. 23</c:v>
                </c:pt>
                <c:pt idx="5">
                  <c:v>Feb. 23</c:v>
                </c:pt>
                <c:pt idx="6">
                  <c:v>Mar. 23</c:v>
                </c:pt>
                <c:pt idx="7">
                  <c:v>Apr. 23</c:v>
                </c:pt>
                <c:pt idx="8">
                  <c:v>May 23</c:v>
                </c:pt>
                <c:pt idx="9">
                  <c:v>Jun. 23</c:v>
                </c:pt>
                <c:pt idx="10">
                  <c:v>Jul. 23</c:v>
                </c:pt>
                <c:pt idx="11">
                  <c:v>Aug. 23</c:v>
                </c:pt>
                <c:pt idx="12">
                  <c:v>Sep. 23</c:v>
                </c:pt>
                <c:pt idx="13">
                  <c:v>Oct. 23</c:v>
                </c:pt>
                <c:pt idx="14">
                  <c:v>Nov. 23</c:v>
                </c:pt>
                <c:pt idx="15">
                  <c:v>Dec. 23</c:v>
                </c:pt>
                <c:pt idx="16">
                  <c:v>Jan. 24</c:v>
                </c:pt>
                <c:pt idx="17">
                  <c:v>Feb. 24</c:v>
                </c:pt>
                <c:pt idx="18">
                  <c:v>Mar. 24</c:v>
                </c:pt>
                <c:pt idx="19">
                  <c:v>Apr. 24</c:v>
                </c:pt>
                <c:pt idx="20">
                  <c:v>May 24</c:v>
                </c:pt>
                <c:pt idx="21">
                  <c:v>Jun. 24</c:v>
                </c:pt>
                <c:pt idx="22">
                  <c:v>Jul. 24</c:v>
                </c:pt>
                <c:pt idx="23">
                  <c:v>Aug. 24</c:v>
                </c:pt>
                <c:pt idx="24">
                  <c:v>Sep. 24</c:v>
                </c:pt>
                <c:pt idx="25">
                  <c:v>Oct. 24</c:v>
                </c:pt>
              </c:strCache>
            </c:strRef>
          </c:cat>
          <c:val>
            <c:numRef>
              <c:f>'Figure 2'!$B$2:$B$27</c:f>
              <c:numCache>
                <c:formatCode>_(* #,##0.00_);_(* \(#,##0.00\);_(* "-"??_);_(@_)</c:formatCode>
                <c:ptCount val="26"/>
                <c:pt idx="0">
                  <c:v>167.60956666666667</c:v>
                </c:pt>
                <c:pt idx="1">
                  <c:v>196.65646666666669</c:v>
                </c:pt>
                <c:pt idx="2">
                  <c:v>189.56993333333332</c:v>
                </c:pt>
                <c:pt idx="3">
                  <c:v>187.4187</c:v>
                </c:pt>
                <c:pt idx="4">
                  <c:v>191.14659999999998</c:v>
                </c:pt>
                <c:pt idx="5">
                  <c:v>176.89983333333333</c:v>
                </c:pt>
                <c:pt idx="6">
                  <c:v>197.96706666666668</c:v>
                </c:pt>
                <c:pt idx="7">
                  <c:v>186.98689999999999</c:v>
                </c:pt>
                <c:pt idx="8">
                  <c:v>189.3032</c:v>
                </c:pt>
                <c:pt idx="9">
                  <c:v>174.55053333333333</c:v>
                </c:pt>
                <c:pt idx="10">
                  <c:v>184.83336666666668</c:v>
                </c:pt>
                <c:pt idx="11">
                  <c:v>168.99566666666666</c:v>
                </c:pt>
                <c:pt idx="12">
                  <c:v>174.76436666666669</c:v>
                </c:pt>
                <c:pt idx="13">
                  <c:v>201.3895</c:v>
                </c:pt>
                <c:pt idx="14">
                  <c:v>200.09026666666668</c:v>
                </c:pt>
                <c:pt idx="15">
                  <c:v>204.28526666666667</c:v>
                </c:pt>
                <c:pt idx="16">
                  <c:v>194.83156666666667</c:v>
                </c:pt>
                <c:pt idx="17">
                  <c:v>193.93246666666667</c:v>
                </c:pt>
                <c:pt idx="18">
                  <c:v>203.7253</c:v>
                </c:pt>
                <c:pt idx="19">
                  <c:v>177.73503333333335</c:v>
                </c:pt>
                <c:pt idx="20">
                  <c:v>191.80506666666668</c:v>
                </c:pt>
                <c:pt idx="21">
                  <c:v>183.68203333333332</c:v>
                </c:pt>
                <c:pt idx="22">
                  <c:v>193.27446666666668</c:v>
                </c:pt>
                <c:pt idx="23">
                  <c:v>167.55493333333334</c:v>
                </c:pt>
                <c:pt idx="24">
                  <c:v>186.50316666666669</c:v>
                </c:pt>
                <c:pt idx="25">
                  <c:v>215.78346666666667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A-4E0B-ABFF-37057F79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2"/>
          <c:order val="1"/>
          <c:tx>
            <c:strRef>
              <c:f>'Figure 2'!$C$1</c:f>
              <c:strCache>
                <c:ptCount val="1"/>
                <c:pt idx="0">
                  <c:v>Crush margin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2'!$A$2:$A$27</c:f>
              <c:strCache>
                <c:ptCount val="26"/>
                <c:pt idx="0">
                  <c:v>Sep. 22</c:v>
                </c:pt>
                <c:pt idx="1">
                  <c:v>Oct. 22</c:v>
                </c:pt>
                <c:pt idx="2">
                  <c:v>Nov. 22</c:v>
                </c:pt>
                <c:pt idx="3">
                  <c:v>Dec. 22</c:v>
                </c:pt>
                <c:pt idx="4">
                  <c:v>Jan. 23</c:v>
                </c:pt>
                <c:pt idx="5">
                  <c:v>Feb. 23</c:v>
                </c:pt>
                <c:pt idx="6">
                  <c:v>Mar. 23</c:v>
                </c:pt>
                <c:pt idx="7">
                  <c:v>Apr. 23</c:v>
                </c:pt>
                <c:pt idx="8">
                  <c:v>May 23</c:v>
                </c:pt>
                <c:pt idx="9">
                  <c:v>Jun. 23</c:v>
                </c:pt>
                <c:pt idx="10">
                  <c:v>Jul. 23</c:v>
                </c:pt>
                <c:pt idx="11">
                  <c:v>Aug. 23</c:v>
                </c:pt>
                <c:pt idx="12">
                  <c:v>Sep. 23</c:v>
                </c:pt>
                <c:pt idx="13">
                  <c:v>Oct. 23</c:v>
                </c:pt>
                <c:pt idx="14">
                  <c:v>Nov. 23</c:v>
                </c:pt>
                <c:pt idx="15">
                  <c:v>Dec. 23</c:v>
                </c:pt>
                <c:pt idx="16">
                  <c:v>Jan. 24</c:v>
                </c:pt>
                <c:pt idx="17">
                  <c:v>Feb. 24</c:v>
                </c:pt>
                <c:pt idx="18">
                  <c:v>Mar. 24</c:v>
                </c:pt>
                <c:pt idx="19">
                  <c:v>Apr. 24</c:v>
                </c:pt>
                <c:pt idx="20">
                  <c:v>May 24</c:v>
                </c:pt>
                <c:pt idx="21">
                  <c:v>Jun. 24</c:v>
                </c:pt>
                <c:pt idx="22">
                  <c:v>Jul. 24</c:v>
                </c:pt>
                <c:pt idx="23">
                  <c:v>Aug. 24</c:v>
                </c:pt>
                <c:pt idx="24">
                  <c:v>Sep. 24</c:v>
                </c:pt>
                <c:pt idx="25">
                  <c:v>Oct. 24</c:v>
                </c:pt>
              </c:strCache>
            </c:strRef>
          </c:cat>
          <c:val>
            <c:numRef>
              <c:f>'Figure 2'!$C$2:$C$27</c:f>
              <c:numCache>
                <c:formatCode>_(* #,##0.00_);_(* \(#,##0.00\);_(* "-"??_);_(@_)</c:formatCode>
                <c:ptCount val="26"/>
                <c:pt idx="0">
                  <c:v>3.953873524474071</c:v>
                </c:pt>
                <c:pt idx="1">
                  <c:v>5.5774980140919173</c:v>
                </c:pt>
                <c:pt idx="2">
                  <c:v>4.6626333459613321</c:v>
                </c:pt>
                <c:pt idx="3">
                  <c:v>3.7374537358732058</c:v>
                </c:pt>
                <c:pt idx="4">
                  <c:v>3.8024237578251481</c:v>
                </c:pt>
                <c:pt idx="5">
                  <c:v>3.5962438359481901</c:v>
                </c:pt>
                <c:pt idx="6">
                  <c:v>2.9373816439756091</c:v>
                </c:pt>
                <c:pt idx="7">
                  <c:v>1.989440208788126</c:v>
                </c:pt>
                <c:pt idx="8">
                  <c:v>1.650828400698886</c:v>
                </c:pt>
                <c:pt idx="9">
                  <c:v>2.0898327862454811</c:v>
                </c:pt>
                <c:pt idx="10">
                  <c:v>3.2957578500544891</c:v>
                </c:pt>
                <c:pt idx="11">
                  <c:v>4.1249815965180847</c:v>
                </c:pt>
                <c:pt idx="12">
                  <c:v>3.7796052406411591</c:v>
                </c:pt>
                <c:pt idx="13">
                  <c:v>3.4239313335804038</c:v>
                </c:pt>
                <c:pt idx="14">
                  <c:v>3.2102133404266411</c:v>
                </c:pt>
                <c:pt idx="15">
                  <c:v>3.0262575903826008</c:v>
                </c:pt>
                <c:pt idx="16">
                  <c:v>2.010190499306697</c:v>
                </c:pt>
                <c:pt idx="17">
                  <c:v>2.0454857073441741</c:v>
                </c:pt>
                <c:pt idx="18">
                  <c:v>1.773846011815911</c:v>
                </c:pt>
                <c:pt idx="19">
                  <c:v>1.7260370158964611</c:v>
                </c:pt>
                <c:pt idx="20">
                  <c:v>1.5826436190752511</c:v>
                </c:pt>
                <c:pt idx="21">
                  <c:v>1.846728673509753</c:v>
                </c:pt>
                <c:pt idx="22">
                  <c:v>2.2379564580118072</c:v>
                </c:pt>
                <c:pt idx="23">
                  <c:v>2.73405996210596</c:v>
                </c:pt>
                <c:pt idx="24">
                  <c:v>2.9070501773428341</c:v>
                </c:pt>
                <c:pt idx="25">
                  <c:v>3.2048501395755959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BA-4E0B-ABFF-37057F79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284303"/>
        <c:axId val="1407286223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9634716333535234"/>
              <c:y val="0.85595024560153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.\ 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tickLblSkip val="3"/>
        <c:noMultiLvlLbl val="1"/>
      </c:catAx>
      <c:valAx>
        <c:axId val="667170632"/>
        <c:scaling>
          <c:orientation val="minMax"/>
          <c:min val="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4.6044502169187613E-4"/>
              <c:y val="0.12937187681505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140728622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 per bushel</a:t>
                </a:r>
              </a:p>
            </c:rich>
          </c:tx>
          <c:layout>
            <c:manualLayout>
              <c:xMode val="edge"/>
              <c:yMode val="edge"/>
              <c:x val="0.91059907834101383"/>
              <c:y val="0.12642372274242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07284303"/>
        <c:crosses val="max"/>
        <c:crossBetween val="between"/>
      </c:valAx>
      <c:catAx>
        <c:axId val="14072843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7286223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40964733238990286"/>
          <c:y val="0.14754030813722238"/>
          <c:w val="0.28869512015465415"/>
          <c:h val="5.2405216228208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3</a:t>
            </a:r>
          </a:p>
          <a:p>
            <a:pPr algn="l">
              <a:defRPr/>
            </a:pPr>
            <a:r>
              <a:rPr lang="en-US" sz="1050"/>
              <a:t>Soybean oil total commitments at</a:t>
            </a:r>
            <a:r>
              <a:rPr lang="en-US" sz="1050" baseline="0"/>
              <a:t> the end of November </a:t>
            </a:r>
            <a:r>
              <a:rPr lang="en-US" sz="1050"/>
              <a:t>by country,</a:t>
            </a:r>
            <a:r>
              <a:rPr lang="en-US" sz="1050" baseline="0"/>
              <a:t> MY 2016/17–2024/25</a:t>
            </a:r>
            <a:endParaRPr lang="en-US" sz="1050"/>
          </a:p>
        </c:rich>
      </c:tx>
      <c:layout>
        <c:manualLayout>
          <c:xMode val="edge"/>
          <c:yMode val="edge"/>
          <c:x val="1.2119170183860037E-2"/>
          <c:y val="1.5035436740850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29807955833681E-2"/>
          <c:y val="0.22606166627499083"/>
          <c:w val="0.66627376777687075"/>
          <c:h val="0.4047790577790526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'Figure 3'!$A$7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3'!$B$1:$K$1</c15:sqref>
                  </c15:fullRef>
                </c:ext>
              </c:extLst>
              <c:f>'Figure 3'!$C$1:$K$1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3'!$B$7:$K$7</c15:sqref>
                  </c15:fullRef>
                </c:ext>
              </c:extLst>
              <c:f>'Figure 3'!$C$7:$K$7</c:f>
              <c:numCache>
                <c:formatCode>_(* #,##0_);_(* \(#,##0\);_(* "-"??_);_(@_)</c:formatCode>
                <c:ptCount val="9"/>
                <c:pt idx="0">
                  <c:v>234938</c:v>
                </c:pt>
                <c:pt idx="1">
                  <c:v>51185</c:v>
                </c:pt>
                <c:pt idx="2">
                  <c:v>73109</c:v>
                </c:pt>
                <c:pt idx="3">
                  <c:v>120697</c:v>
                </c:pt>
                <c:pt idx="4">
                  <c:v>132260</c:v>
                </c:pt>
                <c:pt idx="5">
                  <c:v>129275</c:v>
                </c:pt>
                <c:pt idx="6">
                  <c:v>26492</c:v>
                </c:pt>
                <c:pt idx="7">
                  <c:v>24698</c:v>
                </c:pt>
                <c:pt idx="8">
                  <c:v>161537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F9-4CB6-AC57-E7C2D35596CE}"/>
            </c:ext>
          </c:extLst>
        </c:ser>
        <c:ser>
          <c:idx val="1"/>
          <c:order val="1"/>
          <c:tx>
            <c:strRef>
              <c:f>'Figure 3'!$A$3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3'!$B$1:$K$1</c15:sqref>
                  </c15:fullRef>
                </c:ext>
              </c:extLst>
              <c:f>'Figure 3'!$C$1:$K$1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3'!$B$3:$K$3</c15:sqref>
                  </c15:fullRef>
                </c:ext>
              </c:extLst>
              <c:f>'Figure 3'!$C$3:$K$3</c:f>
              <c:numCache>
                <c:formatCode>_(* #,##0_);_(* \(#,##0\);_(* "-"??_);_(@_)</c:formatCode>
                <c:ptCount val="9"/>
                <c:pt idx="0">
                  <c:v>75413</c:v>
                </c:pt>
                <c:pt idx="1">
                  <c:v>40072</c:v>
                </c:pt>
                <c:pt idx="2">
                  <c:v>54436</c:v>
                </c:pt>
                <c:pt idx="3">
                  <c:v>39140</c:v>
                </c:pt>
                <c:pt idx="4">
                  <c:v>22210</c:v>
                </c:pt>
                <c:pt idx="5">
                  <c:v>41820</c:v>
                </c:pt>
                <c:pt idx="6">
                  <c:v>4133</c:v>
                </c:pt>
                <c:pt idx="7">
                  <c:v>3353</c:v>
                </c:pt>
                <c:pt idx="8">
                  <c:v>49099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F9-4CB6-AC57-E7C2D35596CE}"/>
            </c:ext>
          </c:extLst>
        </c:ser>
        <c:ser>
          <c:idx val="2"/>
          <c:order val="2"/>
          <c:tx>
            <c:strRef>
              <c:f>'Figure 3'!$A$4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3'!$B$1:$K$1</c15:sqref>
                  </c15:fullRef>
                </c:ext>
              </c:extLst>
              <c:f>'Figure 3'!$C$1:$K$1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3'!$B$4:$K$4</c15:sqref>
                  </c15:fullRef>
                </c:ext>
              </c:extLst>
              <c:f>'Figure 3'!$C$4:$K$4</c:f>
              <c:numCache>
                <c:formatCode>_(* #,##0_);_(* \(#,##0\);_(* "-"??_);_(@_)</c:formatCode>
                <c:ptCount val="9"/>
                <c:pt idx="0">
                  <c:v>57835</c:v>
                </c:pt>
                <c:pt idx="1">
                  <c:v>11439</c:v>
                </c:pt>
                <c:pt idx="2">
                  <c:v>43593</c:v>
                </c:pt>
                <c:pt idx="3">
                  <c:v>32550</c:v>
                </c:pt>
                <c:pt idx="4">
                  <c:v>13500</c:v>
                </c:pt>
                <c:pt idx="5">
                  <c:v>8500</c:v>
                </c:pt>
                <c:pt idx="6">
                  <c:v>0</c:v>
                </c:pt>
                <c:pt idx="7">
                  <c:v>0</c:v>
                </c:pt>
                <c:pt idx="8">
                  <c:v>45448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F9-4CB6-AC57-E7C2D35596CE}"/>
            </c:ext>
          </c:extLst>
        </c:ser>
        <c:ser>
          <c:idx val="3"/>
          <c:order val="3"/>
          <c:tx>
            <c:strRef>
              <c:f>'Figure 3'!$A$5</c:f>
              <c:strCache>
                <c:ptCount val="1"/>
                <c:pt idx="0">
                  <c:v>Dominican Republic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3'!$B$1:$K$1</c15:sqref>
                  </c15:fullRef>
                </c:ext>
              </c:extLst>
              <c:f>'Figure 3'!$C$1:$K$1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3'!$B$5:$K$5</c15:sqref>
                  </c15:fullRef>
                </c:ext>
              </c:extLst>
              <c:f>'Figure 3'!$C$5:$K$5</c:f>
              <c:numCache>
                <c:formatCode>_(* #,##0_);_(* \(#,##0\);_(* "-"??_);_(@_)</c:formatCode>
                <c:ptCount val="9"/>
                <c:pt idx="0">
                  <c:v>58093</c:v>
                </c:pt>
                <c:pt idx="1">
                  <c:v>44573</c:v>
                </c:pt>
                <c:pt idx="2">
                  <c:v>56772</c:v>
                </c:pt>
                <c:pt idx="3">
                  <c:v>32716</c:v>
                </c:pt>
                <c:pt idx="4">
                  <c:v>45462</c:v>
                </c:pt>
                <c:pt idx="5">
                  <c:v>37800</c:v>
                </c:pt>
                <c:pt idx="6">
                  <c:v>0</c:v>
                </c:pt>
                <c:pt idx="7">
                  <c:v>0</c:v>
                </c:pt>
                <c:pt idx="8">
                  <c:v>40675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7F9-4CB6-AC57-E7C2D35596CE}"/>
            </c:ext>
          </c:extLst>
        </c:ser>
        <c:ser>
          <c:idx val="4"/>
          <c:order val="4"/>
          <c:tx>
            <c:strRef>
              <c:f>'Figure 3'!$A$6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3'!$B$1:$K$1</c15:sqref>
                  </c15:fullRef>
                </c:ext>
              </c:extLst>
              <c:f>'Figure 3'!$C$1:$K$1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3'!$B$6:$K$6</c15:sqref>
                  </c15:fullRef>
                </c:ext>
              </c:extLst>
              <c:f>'Figure 3'!$C$6:$K$6</c:f>
              <c:numCache>
                <c:formatCode>_(* #,##0_);_(* \(#,##0\);_(* "-"??_);_(@_)</c:formatCode>
                <c:ptCount val="9"/>
                <c:pt idx="0">
                  <c:v>20535</c:v>
                </c:pt>
                <c:pt idx="1">
                  <c:v>76014</c:v>
                </c:pt>
                <c:pt idx="2">
                  <c:v>104520</c:v>
                </c:pt>
                <c:pt idx="3">
                  <c:v>107175</c:v>
                </c:pt>
                <c:pt idx="4">
                  <c:v>143504</c:v>
                </c:pt>
                <c:pt idx="5">
                  <c:v>31021</c:v>
                </c:pt>
                <c:pt idx="6">
                  <c:v>64</c:v>
                </c:pt>
                <c:pt idx="7">
                  <c:v>23</c:v>
                </c:pt>
                <c:pt idx="8">
                  <c:v>38597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F9-4CB6-AC57-E7C2D35596CE}"/>
            </c:ext>
          </c:extLst>
        </c:ser>
        <c:ser>
          <c:idx val="0"/>
          <c:order val="5"/>
          <c:tx>
            <c:strRef>
              <c:f>'Figure 3'!$A$2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3'!$B$1:$K$1</c15:sqref>
                  </c15:fullRef>
                </c:ext>
              </c:extLst>
              <c:f>'Figure 3'!$C$1:$K$1</c:f>
              <c:strCache>
                <c:ptCount val="9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3'!$B$2:$K$2</c15:sqref>
                  </c15:fullRef>
                </c:ext>
              </c:extLst>
              <c:f>'Figure 3'!$C$2:$K$2</c:f>
              <c:numCache>
                <c:formatCode>_(* #,##0_);_(* \(#,##0\);_(* "-"??_);_(@_)</c:formatCode>
                <c:ptCount val="9"/>
                <c:pt idx="0">
                  <c:v>142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33000</c:v>
                </c:pt>
                <c:pt idx="5">
                  <c:v>59999</c:v>
                </c:pt>
                <c:pt idx="6">
                  <c:v>0</c:v>
                </c:pt>
                <c:pt idx="7">
                  <c:v>0</c:v>
                </c:pt>
                <c:pt idx="8">
                  <c:v>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CB6-AC57-E7C2D355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1753963374171887"/>
              <c:y val="0.801078330853801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metric</a:t>
                </a:r>
                <a:r>
                  <a:rPr lang="en-US" sz="900" baseline="0"/>
                  <a:t>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7.4046205871641374E-3"/>
              <c:y val="0.150234901785182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75722528746334916"/>
          <c:y val="0.17449790908150115"/>
          <c:w val="0.21524908598412457"/>
          <c:h val="0.31028070309807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Feedstock usage in U.S. biomass-based diesel production, MY 2022/23 and 2023/24</a:t>
            </a:r>
            <a:endParaRPr lang="en-US" sz="2000" b="1">
              <a:effectLst/>
            </a:endParaRPr>
          </a:p>
        </c:rich>
      </c:tx>
      <c:layout>
        <c:manualLayout>
          <c:xMode val="edge"/>
          <c:yMode val="edge"/>
          <c:x val="1.7569226339940712E-3"/>
          <c:y val="3.020419798969507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24873681120984E-2"/>
          <c:y val="0.22949010044122492"/>
          <c:w val="0.8339245852028293"/>
          <c:h val="0.53035650984517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4'!$A$2:$A$4</c15:sqref>
                  </c15:fullRef>
                </c:ext>
              </c:extLst>
              <c:f>'Figure 4'!$A$3:$A$4</c:f>
              <c:strCache>
                <c:ptCount val="2"/>
                <c:pt idx="0">
                  <c:v>2022/23</c:v>
                </c:pt>
                <c:pt idx="1">
                  <c:v>2023/24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4'!$B$2:$B$4</c15:sqref>
                  </c15:fullRef>
                </c:ext>
              </c:extLst>
              <c:f>'Figure 4'!$B$3:$B$4</c:f>
              <c:numCache>
                <c:formatCode>_(* #,##0_);_(* \(#,##0\);_(* "-"??_);_(@_)</c:formatCode>
                <c:ptCount val="2"/>
                <c:pt idx="0">
                  <c:v>12510.330252333199</c:v>
                </c:pt>
                <c:pt idx="1">
                  <c:v>12988.940404823095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C-4EA8-A64B-CA79A796DA4A}"/>
            </c:ext>
          </c:extLst>
        </c:ser>
        <c:ser>
          <c:idx val="1"/>
          <c:order val="1"/>
          <c:tx>
            <c:strRef>
              <c:f>'Figure 4'!$C$1</c:f>
              <c:strCache>
                <c:ptCount val="1"/>
                <c:pt idx="0">
                  <c:v>Canola oil</c:v>
                </c:pt>
              </c:strCache>
            </c:strRef>
          </c:tx>
          <c:spPr>
            <a:solidFill>
              <a:srgbClr val="942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4'!$A$2:$A$4</c15:sqref>
                  </c15:fullRef>
                </c:ext>
              </c:extLst>
              <c:f>'Figure 4'!$A$3:$A$4</c:f>
              <c:strCache>
                <c:ptCount val="2"/>
                <c:pt idx="0">
                  <c:v>2022/23</c:v>
                </c:pt>
                <c:pt idx="1">
                  <c:v>2023/24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4'!$C$2:$C$4</c15:sqref>
                  </c15:fullRef>
                </c:ext>
              </c:extLst>
              <c:f>'Figure 4'!$C$3:$C$4</c:f>
              <c:numCache>
                <c:formatCode>_(* #,##0_);_(* \(#,##0\);_(* "-"??_);_(@_)</c:formatCode>
                <c:ptCount val="2"/>
                <c:pt idx="0">
                  <c:v>2914.3018766419996</c:v>
                </c:pt>
                <c:pt idx="1">
                  <c:v>4336.8975532588975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C-4EA8-A64B-CA79A796DA4A}"/>
            </c:ext>
          </c:extLst>
        </c:ser>
        <c:ser>
          <c:idx val="2"/>
          <c:order val="2"/>
          <c:tx>
            <c:strRef>
              <c:f>'Figure 4'!$D$1</c:f>
              <c:strCache>
                <c:ptCount val="1"/>
                <c:pt idx="0">
                  <c:v>Corn oil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4'!$A$2:$A$4</c15:sqref>
                  </c15:fullRef>
                </c:ext>
              </c:extLst>
              <c:f>'Figure 4'!$A$3:$A$4</c:f>
              <c:strCache>
                <c:ptCount val="2"/>
                <c:pt idx="0">
                  <c:v>2022/23</c:v>
                </c:pt>
                <c:pt idx="1">
                  <c:v>2023/24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4'!$D$2:$D$4</c15:sqref>
                  </c15:fullRef>
                </c:ext>
              </c:extLst>
              <c:f>'Figure 4'!$D$3:$D$4</c:f>
              <c:numCache>
                <c:formatCode>_(* #,##0_);_(* \(#,##0\);_(* "-"??_);_(@_)</c:formatCode>
                <c:ptCount val="2"/>
                <c:pt idx="0">
                  <c:v>3893.8603241012979</c:v>
                </c:pt>
                <c:pt idx="1">
                  <c:v>4211.2297811424978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C-4EA8-A64B-CA79A796DA4A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Tallow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"/>
              <c:pt idx="0">
                <c:v>2022/23</c:v>
              </c:pt>
              <c:pt idx="1">
                <c:v>2023/24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4'!$E$2:$E$4</c15:sqref>
                  </c15:fullRef>
                </c:ext>
              </c:extLst>
              <c:f>'Figure 4'!$E$3:$E$4</c:f>
              <c:numCache>
                <c:formatCode>_(* #,##0_);_(* \(#,##0\);_(* "-"??_);_(@_)</c:formatCode>
                <c:ptCount val="2"/>
                <c:pt idx="0">
                  <c:v>4584.2849999999989</c:v>
                </c:pt>
                <c:pt idx="1">
                  <c:v>6831.1626087262002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C-4EA8-A64B-CA79A796DA4A}"/>
            </c:ext>
          </c:extLst>
        </c:ser>
        <c:ser>
          <c:idx val="4"/>
          <c:order val="4"/>
          <c:tx>
            <c:strRef>
              <c:f>'Figure 4'!$F$1</c:f>
              <c:strCache>
                <c:ptCount val="1"/>
                <c:pt idx="0">
                  <c:v>Grease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"/>
              <c:pt idx="0">
                <c:v>2022/23</c:v>
              </c:pt>
              <c:pt idx="1">
                <c:v>2023/24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4'!$F$2:$F$4</c15:sqref>
                  </c15:fullRef>
                </c:ext>
              </c:extLst>
              <c:f>'Figure 4'!$F$3:$F$4</c:f>
              <c:numCache>
                <c:formatCode>_(* #,##0_);_(* \(#,##0\);_(* "-"??_);_(@_)</c:formatCode>
                <c:ptCount val="2"/>
                <c:pt idx="0">
                  <c:v>6990.0884248740967</c:v>
                </c:pt>
                <c:pt idx="1">
                  <c:v>8306.5905162145973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CC-4EA8-A64B-CA79A796DA4A}"/>
            </c:ext>
          </c:extLst>
        </c:ser>
        <c:ser>
          <c:idx val="5"/>
          <c:order val="5"/>
          <c:tx>
            <c:strRef>
              <c:f>'Figure 4'!$G$1</c:f>
              <c:strCache>
                <c:ptCount val="1"/>
                <c:pt idx="0">
                  <c:v>Other fats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3.7126817021505489E-3"/>
                  <c:y val="-4.09699785099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81-468C-8E61-7FD3AFFC416D}"/>
                </c:ext>
              </c:extLst>
            </c:dLbl>
            <c:dLbl>
              <c:idx val="1"/>
              <c:layout>
                <c:manualLayout>
                  <c:x val="0"/>
                  <c:y val="-3.1515368084610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1-468C-8E61-7FD3AFFC41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"/>
              <c:pt idx="0">
                <c:v>2022/23</c:v>
              </c:pt>
              <c:pt idx="1">
                <c:v>2023/24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4'!$G$2:$G$4</c15:sqref>
                  </c15:fullRef>
                </c:ext>
              </c:extLst>
              <c:f>'Figure 4'!$G$3:$G$4</c:f>
              <c:numCache>
                <c:formatCode>_(* #,##0_);_(* \(#,##0\);_(* "-"??_);_(@_)</c:formatCode>
                <c:ptCount val="2"/>
                <c:pt idx="0">
                  <c:v>284.27608099999986</c:v>
                </c:pt>
                <c:pt idx="1">
                  <c:v>415.23178499999977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CC-4EA8-A64B-CA79A796D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18111"/>
        <c:axId val="210716671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'Figure 4'!$H$1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dLbls>
                  <c:dLbl>
                    <c:idx val="0"/>
                    <c:layout>
                      <c:manualLayout>
                        <c:x val="-5.3833884681182963E-2"/>
                        <c:y val="-4.752267180693172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9F3-4BE7-BE1F-C2E97BD64C1C}"/>
                      </c:ext>
                    </c:extLst>
                  </c:dLbl>
                  <c:dLbl>
                    <c:idx val="1"/>
                    <c:layout>
                      <c:manualLayout>
                        <c:x val="-5.1977543830107824E-2"/>
                        <c:y val="-3.80181374455453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A9F3-4BE7-BE1F-C2E97BD64C1C}"/>
                      </c:ext>
                    </c:extLst>
                  </c:dLbl>
                  <c:spPr>
                    <a:solidFill>
                      <a:schemeClr val="accent3">
                        <a:lumMod val="40000"/>
                        <a:lumOff val="60000"/>
                      </a:schemeClr>
                    </a:solidFill>
                    <a:ln>
                      <a:solidFill>
                        <a:schemeClr val="accent6"/>
                      </a:solidFill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val>
                  <c:numRef>
                    <c:extLst>
                      <c:ext uri="{02D57815-91ED-43cb-92C2-25804820EDAC}">
                        <c15:fullRef>
                          <c15:sqref>'Figure 4'!$H$2:$H$4</c15:sqref>
                        </c15:fullRef>
                        <c15:formulaRef>
                          <c15:sqref>'Figure 4'!$H$3:$H$4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31177.141958950593</c:v>
                      </c:pt>
                      <c:pt idx="1">
                        <c:v>37090.052649165285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categoryFilterExceptions>
                      <c15:categoryFilterException>
                        <c15:sqref>'Figure 4'!$H$2</c15:sqref>
                        <c15:dLbl>
                          <c:idx val="-1"/>
                          <c:layout>
                            <c:manualLayout>
                              <c:x val="-5.7546566383333511E-2"/>
                              <c:y val="-4.4354493686469612E-2"/>
                            </c:manualLayout>
                          </c:layout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/>
                            <c:ext xmlns:c16="http://schemas.microsoft.com/office/drawing/2014/chart" uri="{C3380CC4-5D6E-409C-BE32-E72D297353CC}">
                              <c16:uniqueId val="{00000000-802F-45E8-8B9C-79D42BAC8D30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1-A9F3-4BE7-BE1F-C2E97BD64C1C}"/>
                  </c:ext>
                </c:extLst>
              </c15:ser>
            </c15:filteredLineSeries>
          </c:ext>
        </c:extLst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Marketing</a:t>
                </a:r>
                <a:r>
                  <a:rPr lang="en-US" b="0" baseline="0"/>
                  <a:t> year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5767367457263231"/>
              <c:y val="0.840284407599336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</a:p>
            </c:rich>
          </c:tx>
          <c:layout>
            <c:manualLayout>
              <c:xMode val="edge"/>
              <c:yMode val="edge"/>
              <c:x val="2.0945956217250927E-3"/>
              <c:y val="0.142721933995623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210716671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210718111"/>
        <c:crosses val="max"/>
        <c:crossBetween val="between"/>
      </c:valAx>
      <c:catAx>
        <c:axId val="210718111"/>
        <c:scaling>
          <c:orientation val="minMax"/>
        </c:scaling>
        <c:delete val="1"/>
        <c:axPos val="b"/>
        <c:majorTickMark val="out"/>
        <c:minorTickMark val="none"/>
        <c:tickLblPos val="nextTo"/>
        <c:crossAx val="210716671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7309971046516329"/>
          <c:y val="0.15098746726919504"/>
          <c:w val="0.59559863045895767"/>
          <c:h val="5.0530944244305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2022/23 percent share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4'!$A$8</c:f>
              <c:strCache>
                <c:ptCount val="1"/>
                <c:pt idx="0">
                  <c:v>2022/23</c:v>
                </c:pt>
              </c:strCache>
            </c:strRef>
          </c:tx>
          <c:spPr>
            <a:ln w="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B7-4E83-A6B7-5E244C72DCA2}"/>
              </c:ext>
            </c:extLst>
          </c:dPt>
          <c:dPt>
            <c:idx val="1"/>
            <c:bubble3D val="0"/>
            <c:spPr>
              <a:solidFill>
                <a:srgbClr val="9429FF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B7-4E83-A6B7-5E244C72DC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B7-4E83-A6B7-5E244C72DCA2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B7-4E83-A6B7-5E244C72DCA2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B7-4E83-A6B7-5E244C72DCA2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B7-4E83-A6B7-5E244C72DCA2}"/>
              </c:ext>
            </c:extLst>
          </c:dPt>
          <c:dLbls>
            <c:dLbl>
              <c:idx val="1"/>
              <c:layout>
                <c:manualLayout>
                  <c:x val="-3.1958223079480874E-2"/>
                  <c:y val="-8.7615038128509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B7-4E83-A6B7-5E244C72DCA2}"/>
                </c:ext>
              </c:extLst>
            </c:dLbl>
            <c:dLbl>
              <c:idx val="2"/>
              <c:layout>
                <c:manualLayout>
                  <c:x val="2.7637461127156399E-2"/>
                  <c:y val="8.469916522724369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B7-4E83-A6B7-5E244C72DCA2}"/>
                </c:ext>
              </c:extLst>
            </c:dLbl>
            <c:dLbl>
              <c:idx val="5"/>
              <c:layout>
                <c:manualLayout>
                  <c:x val="0.23280899849795714"/>
                  <c:y val="0.1076925392680008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752830078907146"/>
                      <c:h val="0.29326561568845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B7-4E83-A6B7-5E244C72DC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4'!$B$1:$G$1</c:f>
              <c:strCache>
                <c:ptCount val="6"/>
                <c:pt idx="0">
                  <c:v>Soybean oil</c:v>
                </c:pt>
                <c:pt idx="1">
                  <c:v>Canola oil</c:v>
                </c:pt>
                <c:pt idx="2">
                  <c:v>Corn oil</c:v>
                </c:pt>
                <c:pt idx="3">
                  <c:v>Tallow</c:v>
                </c:pt>
                <c:pt idx="4">
                  <c:v>Grease</c:v>
                </c:pt>
                <c:pt idx="5">
                  <c:v>Other fats</c:v>
                </c:pt>
              </c:strCache>
            </c:strRef>
          </c:cat>
          <c:val>
            <c:numRef>
              <c:f>'Figure 4'!$B$8:$G$8</c:f>
              <c:numCache>
                <c:formatCode>_(* #,##0_);_(* \(#,##0\);_(* "-"??_);_(@_)</c:formatCode>
                <c:ptCount val="6"/>
                <c:pt idx="0">
                  <c:v>40.126610286487882</c:v>
                </c:pt>
                <c:pt idx="1">
                  <c:v>9.347559441077431</c:v>
                </c:pt>
                <c:pt idx="2">
                  <c:v>12.489471707278851</c:v>
                </c:pt>
                <c:pt idx="3">
                  <c:v>14.703993733729348</c:v>
                </c:pt>
                <c:pt idx="4">
                  <c:v>22.420555527756846</c:v>
                </c:pt>
                <c:pt idx="5">
                  <c:v>0.91180930366963131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7-4E83-A6B7-5E244C72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2023/24 percent share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4'!$A$9</c:f>
              <c:strCache>
                <c:ptCount val="1"/>
                <c:pt idx="0">
                  <c:v>2023/24</c:v>
                </c:pt>
              </c:strCache>
            </c:strRef>
          </c:tx>
          <c:spPr>
            <a:ln w="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EEE-4533-B0B9-F8118ABAE946}"/>
              </c:ext>
            </c:extLst>
          </c:dPt>
          <c:dPt>
            <c:idx val="1"/>
            <c:bubble3D val="0"/>
            <c:spPr>
              <a:solidFill>
                <a:srgbClr val="9429FF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EEE-4533-B0B9-F8118ABAE9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EEE-4533-B0B9-F8118ABAE946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EEE-4533-B0B9-F8118ABAE946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EEE-4533-B0B9-F8118ABAE946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EEE-4533-B0B9-F8118ABAE946}"/>
              </c:ext>
            </c:extLst>
          </c:dPt>
          <c:dLbls>
            <c:dLbl>
              <c:idx val="1"/>
              <c:layout>
                <c:manualLayout>
                  <c:x val="-3.1958223079480874E-2"/>
                  <c:y val="-8.7615038128509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EEE-4533-B0B9-F8118ABAE946}"/>
                </c:ext>
              </c:extLst>
            </c:dLbl>
            <c:dLbl>
              <c:idx val="2"/>
              <c:layout>
                <c:manualLayout>
                  <c:x val="2.7637461127156399E-2"/>
                  <c:y val="8.469916522724369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EEE-4533-B0B9-F8118ABAE946}"/>
                </c:ext>
              </c:extLst>
            </c:dLbl>
            <c:dLbl>
              <c:idx val="5"/>
              <c:layout>
                <c:manualLayout>
                  <c:x val="0.18665536038764385"/>
                  <c:y val="9.9121125057114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280314960629923"/>
                      <c:h val="0.293265625812007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EEE-4533-B0B9-F8118ABAE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4'!$B$1:$G$1</c:f>
              <c:strCache>
                <c:ptCount val="6"/>
                <c:pt idx="0">
                  <c:v>Soybean oil</c:v>
                </c:pt>
                <c:pt idx="1">
                  <c:v>Canola oil</c:v>
                </c:pt>
                <c:pt idx="2">
                  <c:v>Corn oil</c:v>
                </c:pt>
                <c:pt idx="3">
                  <c:v>Tallow</c:v>
                </c:pt>
                <c:pt idx="4">
                  <c:v>Grease</c:v>
                </c:pt>
                <c:pt idx="5">
                  <c:v>Other fats</c:v>
                </c:pt>
              </c:strCache>
            </c:strRef>
          </c:cat>
          <c:val>
            <c:numRef>
              <c:f>'Figure 4'!$B$9:$G$9</c:f>
              <c:numCache>
                <c:formatCode>_(* #,##0_);_(* \(#,##0\);_(* "-"??_);_(@_)</c:formatCode>
                <c:ptCount val="6"/>
                <c:pt idx="0">
                  <c:v>35.020010695820389</c:v>
                </c:pt>
                <c:pt idx="1">
                  <c:v>11.692885945138984</c:v>
                </c:pt>
                <c:pt idx="2">
                  <c:v>11.354067951794271</c:v>
                </c:pt>
                <c:pt idx="3">
                  <c:v>18.417775443303221</c:v>
                </c:pt>
                <c:pt idx="4">
                  <c:v>22.395736654209191</c:v>
                </c:pt>
                <c:pt idx="5">
                  <c:v>1.1195233097339501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EEE-4533-B0B9-F8118ABA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5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Major vegetable oils global ending stocks as of September 30</a:t>
            </a:r>
            <a:endParaRPr lang="en-US" sz="1050" b="1"/>
          </a:p>
        </c:rich>
      </c:tx>
      <c:layout>
        <c:manualLayout>
          <c:xMode val="edge"/>
          <c:yMode val="edge"/>
          <c:x val="1.9960385697541656E-3"/>
          <c:y val="4.06457933340898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448099217852022E-2"/>
          <c:y val="0.20665826730804415"/>
          <c:w val="0.90944036402720718"/>
          <c:h val="0.498127765971499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5'!$B$1</c:f>
              <c:strCache>
                <c:ptCount val="1"/>
                <c:pt idx="0">
                  <c:v>Palm oil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5'!$A$2:$A$11</c:f>
              <c:strCache>
                <c:ptCount val="10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</c:v>
                </c:pt>
                <c:pt idx="6">
                  <c:v>2022/2023</c:v>
                </c:pt>
                <c:pt idx="7">
                  <c:v>2023/2024</c:v>
                </c:pt>
                <c:pt idx="8">
                  <c:v>2024/2025 Nov*</c:v>
                </c:pt>
                <c:pt idx="9">
                  <c:v>2024/2025 Dec* </c:v>
                </c:pt>
              </c:strCache>
            </c:strRef>
          </c:cat>
          <c:val>
            <c:numRef>
              <c:f>'Figure 5'!$B$2:$B$11</c:f>
              <c:numCache>
                <c:formatCode>_(* #,##0.0_);_(* \(#,##0.0\);_(* "-"_);_(@_)</c:formatCode>
                <c:ptCount val="10"/>
                <c:pt idx="0">
                  <c:v>10.4</c:v>
                </c:pt>
                <c:pt idx="1">
                  <c:v>12.987</c:v>
                </c:pt>
                <c:pt idx="2">
                  <c:v>14.989000000000001</c:v>
                </c:pt>
                <c:pt idx="3">
                  <c:v>16.021000000000001</c:v>
                </c:pt>
                <c:pt idx="4">
                  <c:v>15.225</c:v>
                </c:pt>
                <c:pt idx="5">
                  <c:v>16.670999999999999</c:v>
                </c:pt>
                <c:pt idx="6">
                  <c:v>16.626999999999999</c:v>
                </c:pt>
                <c:pt idx="7">
                  <c:v>15.923</c:v>
                </c:pt>
                <c:pt idx="8">
                  <c:v>15.75</c:v>
                </c:pt>
                <c:pt idx="9">
                  <c:v>15.227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F-41E9-B141-E0538D183F0B}"/>
            </c:ext>
          </c:extLst>
        </c:ser>
        <c:ser>
          <c:idx val="2"/>
          <c:order val="1"/>
          <c:tx>
            <c:strRef>
              <c:f>'Figure 5'!$D$1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5'!$A$2:$A$11</c:f>
              <c:strCache>
                <c:ptCount val="10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</c:v>
                </c:pt>
                <c:pt idx="6">
                  <c:v>2022/2023</c:v>
                </c:pt>
                <c:pt idx="7">
                  <c:v>2023/2024</c:v>
                </c:pt>
                <c:pt idx="8">
                  <c:v>2024/2025 Nov*</c:v>
                </c:pt>
                <c:pt idx="9">
                  <c:v>2024/2025 Dec* </c:v>
                </c:pt>
              </c:strCache>
            </c:strRef>
          </c:cat>
          <c:val>
            <c:numRef>
              <c:f>'Figure 5'!$D$2:$D$11</c:f>
              <c:numCache>
                <c:formatCode>_(* #,##0.0_);_(* \(#,##0.0\);_(* "-"_);_(@_)</c:formatCode>
                <c:ptCount val="10"/>
                <c:pt idx="0">
                  <c:v>4.3620000000000001</c:v>
                </c:pt>
                <c:pt idx="1">
                  <c:v>4.5149999999999997</c:v>
                </c:pt>
                <c:pt idx="2">
                  <c:v>4.8099999999999996</c:v>
                </c:pt>
                <c:pt idx="3">
                  <c:v>5.6779999999999999</c:v>
                </c:pt>
                <c:pt idx="4">
                  <c:v>5.915</c:v>
                </c:pt>
                <c:pt idx="5">
                  <c:v>5.1050000000000004</c:v>
                </c:pt>
                <c:pt idx="6">
                  <c:v>5.0259999999999998</c:v>
                </c:pt>
                <c:pt idx="7">
                  <c:v>5.3</c:v>
                </c:pt>
                <c:pt idx="8">
                  <c:v>4.97</c:v>
                </c:pt>
                <c:pt idx="9">
                  <c:v>5.0259999999999998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F-41E9-B141-E0538D183F0B}"/>
            </c:ext>
          </c:extLst>
        </c:ser>
        <c:ser>
          <c:idx val="0"/>
          <c:order val="2"/>
          <c:tx>
            <c:strRef>
              <c:f>'Figure 5'!$C$1</c:f>
              <c:strCache>
                <c:ptCount val="1"/>
                <c:pt idx="0">
                  <c:v>Rapeseed oil 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5'!$A$2:$A$11</c:f>
              <c:strCache>
                <c:ptCount val="10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</c:v>
                </c:pt>
                <c:pt idx="6">
                  <c:v>2022/2023</c:v>
                </c:pt>
                <c:pt idx="7">
                  <c:v>2023/2024</c:v>
                </c:pt>
                <c:pt idx="8">
                  <c:v>2024/2025 Nov*</c:v>
                </c:pt>
                <c:pt idx="9">
                  <c:v>2024/2025 Dec* </c:v>
                </c:pt>
              </c:strCache>
            </c:strRef>
          </c:cat>
          <c:val>
            <c:numRef>
              <c:f>'Figure 5'!$C$2:$C$11</c:f>
              <c:numCache>
                <c:formatCode>_(* #,##0.0_);_(* \(#,##0.0\);_(* "-"_);_(@_)</c:formatCode>
                <c:ptCount val="10"/>
                <c:pt idx="0">
                  <c:v>4.2489999999999997</c:v>
                </c:pt>
                <c:pt idx="1">
                  <c:v>3.395</c:v>
                </c:pt>
                <c:pt idx="2">
                  <c:v>2.9630000000000001</c:v>
                </c:pt>
                <c:pt idx="3">
                  <c:v>2.9119999999999999</c:v>
                </c:pt>
                <c:pt idx="4">
                  <c:v>3.6619999999999999</c:v>
                </c:pt>
                <c:pt idx="5">
                  <c:v>2.5870000000000002</c:v>
                </c:pt>
                <c:pt idx="6">
                  <c:v>3.1110000000000002</c:v>
                </c:pt>
                <c:pt idx="7">
                  <c:v>3.1720000000000002</c:v>
                </c:pt>
                <c:pt idx="8">
                  <c:v>2.7850000000000001</c:v>
                </c:pt>
                <c:pt idx="9">
                  <c:v>2.6779999999999999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F-41E9-B141-E0538D183F0B}"/>
            </c:ext>
          </c:extLst>
        </c:ser>
        <c:ser>
          <c:idx val="3"/>
          <c:order val="3"/>
          <c:tx>
            <c:strRef>
              <c:f>'Figure 5'!$E$1</c:f>
              <c:strCache>
                <c:ptCount val="1"/>
                <c:pt idx="0">
                  <c:v>Sunflowerseed oil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5'!$A$2:$A$11</c:f>
              <c:strCache>
                <c:ptCount val="10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</c:v>
                </c:pt>
                <c:pt idx="6">
                  <c:v>2022/2023</c:v>
                </c:pt>
                <c:pt idx="7">
                  <c:v>2023/2024</c:v>
                </c:pt>
                <c:pt idx="8">
                  <c:v>2024/2025 Nov*</c:v>
                </c:pt>
                <c:pt idx="9">
                  <c:v>2024/2025 Dec* </c:v>
                </c:pt>
              </c:strCache>
            </c:strRef>
          </c:cat>
          <c:val>
            <c:numRef>
              <c:f>'Figure 5'!$E$2:$E$11</c:f>
              <c:numCache>
                <c:formatCode>_(* #,##0.0_);_(* \(#,##0.0\);_(* "-"_);_(@_)</c:formatCode>
                <c:ptCount val="10"/>
                <c:pt idx="0">
                  <c:v>2.6160000000000001</c:v>
                </c:pt>
                <c:pt idx="1">
                  <c:v>2.6059999999999999</c:v>
                </c:pt>
                <c:pt idx="2">
                  <c:v>2.4430000000000001</c:v>
                </c:pt>
                <c:pt idx="3">
                  <c:v>3.012</c:v>
                </c:pt>
                <c:pt idx="4">
                  <c:v>2.044</c:v>
                </c:pt>
                <c:pt idx="5">
                  <c:v>2.645</c:v>
                </c:pt>
                <c:pt idx="6">
                  <c:v>3.1070000000000002</c:v>
                </c:pt>
                <c:pt idx="7">
                  <c:v>2.9489999999999998</c:v>
                </c:pt>
                <c:pt idx="8">
                  <c:v>2.09</c:v>
                </c:pt>
                <c:pt idx="9">
                  <c:v>2.2229999999999999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EF-41E9-B141-E0538D183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6783194734345E-3"/>
              <c:y val="0.1337422478343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t"/>
      <c:layout>
        <c:manualLayout>
          <c:xMode val="edge"/>
          <c:yMode val="edge"/>
          <c:x val="0.23762113255339426"/>
          <c:y val="0.1464780151255414"/>
          <c:w val="0.60390150764054573"/>
          <c:h val="5.087026862226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6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Historical monthly average vegetable oil prices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8.4768800065120997E-4"/>
          <c:y val="3.57229659068930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45002265539589E-2"/>
          <c:y val="0.19481067960680953"/>
          <c:w val="0.86668074748211765"/>
          <c:h val="0.58361679785314891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6'!$C$1</c:f>
              <c:strCache>
                <c:ptCount val="1"/>
                <c:pt idx="0">
                  <c:v>Soybean oil, FOB, U.S. Gulf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6'!$A$2:$A$86</c:f>
              <c:numCache>
                <c:formatCode>mmm\.\ yy</c:formatCode>
                <c:ptCount val="85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  <c:pt idx="65">
                  <c:v>45017</c:v>
                </c:pt>
                <c:pt idx="66">
                  <c:v>45047</c:v>
                </c:pt>
                <c:pt idx="67">
                  <c:v>45078</c:v>
                </c:pt>
                <c:pt idx="68">
                  <c:v>45108</c:v>
                </c:pt>
                <c:pt idx="69">
                  <c:v>45139</c:v>
                </c:pt>
                <c:pt idx="70">
                  <c:v>45170</c:v>
                </c:pt>
                <c:pt idx="71">
                  <c:v>45200</c:v>
                </c:pt>
                <c:pt idx="72">
                  <c:v>45231</c:v>
                </c:pt>
                <c:pt idx="73">
                  <c:v>45261</c:v>
                </c:pt>
                <c:pt idx="74">
                  <c:v>45292</c:v>
                </c:pt>
                <c:pt idx="75">
                  <c:v>45323</c:v>
                </c:pt>
                <c:pt idx="76">
                  <c:v>45352</c:v>
                </c:pt>
                <c:pt idx="77">
                  <c:v>45383</c:v>
                </c:pt>
                <c:pt idx="78">
                  <c:v>45413</c:v>
                </c:pt>
                <c:pt idx="79">
                  <c:v>45444</c:v>
                </c:pt>
                <c:pt idx="80">
                  <c:v>45474</c:v>
                </c:pt>
                <c:pt idx="81">
                  <c:v>45505</c:v>
                </c:pt>
                <c:pt idx="82">
                  <c:v>45536</c:v>
                </c:pt>
                <c:pt idx="83">
                  <c:v>45566</c:v>
                </c:pt>
                <c:pt idx="84">
                  <c:v>45597</c:v>
                </c:pt>
              </c:numCache>
            </c:numRef>
          </c:cat>
          <c:val>
            <c:numRef>
              <c:f>'Figure 6'!$C$2:$C$86</c:f>
              <c:numCache>
                <c:formatCode>0</c:formatCode>
                <c:ptCount val="85"/>
                <c:pt idx="0">
                  <c:v>810</c:v>
                </c:pt>
                <c:pt idx="1">
                  <c:v>778</c:v>
                </c:pt>
                <c:pt idx="2">
                  <c:v>781</c:v>
                </c:pt>
                <c:pt idx="3">
                  <c:v>766</c:v>
                </c:pt>
                <c:pt idx="4">
                  <c:v>751</c:v>
                </c:pt>
                <c:pt idx="5">
                  <c:v>757</c:v>
                </c:pt>
                <c:pt idx="6">
                  <c:v>735</c:v>
                </c:pt>
                <c:pt idx="7">
                  <c:v>702</c:v>
                </c:pt>
                <c:pt idx="8">
                  <c:v>674</c:v>
                </c:pt>
                <c:pt idx="9">
                  <c:v>675</c:v>
                </c:pt>
                <c:pt idx="10">
                  <c:v>671</c:v>
                </c:pt>
                <c:pt idx="11">
                  <c:v>691</c:v>
                </c:pt>
                <c:pt idx="12">
                  <c:v>660</c:v>
                </c:pt>
                <c:pt idx="13">
                  <c:v>674</c:v>
                </c:pt>
                <c:pt idx="14">
                  <c:v>684</c:v>
                </c:pt>
                <c:pt idx="15">
                  <c:v>710</c:v>
                </c:pt>
                <c:pt idx="16">
                  <c:v>686</c:v>
                </c:pt>
                <c:pt idx="17">
                  <c:v>665</c:v>
                </c:pt>
                <c:pt idx="18">
                  <c:v>653</c:v>
                </c:pt>
                <c:pt idx="19">
                  <c:v>667</c:v>
                </c:pt>
                <c:pt idx="20">
                  <c:v>669</c:v>
                </c:pt>
                <c:pt idx="21">
                  <c:v>694</c:v>
                </c:pt>
                <c:pt idx="22">
                  <c:v>701</c:v>
                </c:pt>
                <c:pt idx="23">
                  <c:v>720</c:v>
                </c:pt>
                <c:pt idx="24">
                  <c:v>733</c:v>
                </c:pt>
                <c:pt idx="25">
                  <c:v>781</c:v>
                </c:pt>
                <c:pt idx="26">
                  <c:v>798</c:v>
                </c:pt>
                <c:pt idx="27">
                  <c:v>730</c:v>
                </c:pt>
                <c:pt idx="28">
                  <c:v>637</c:v>
                </c:pt>
                <c:pt idx="29">
                  <c:v>619</c:v>
                </c:pt>
                <c:pt idx="30">
                  <c:v>625</c:v>
                </c:pt>
                <c:pt idx="31">
                  <c:v>667</c:v>
                </c:pt>
                <c:pt idx="32">
                  <c:v>729</c:v>
                </c:pt>
                <c:pt idx="33">
                  <c:v>800</c:v>
                </c:pt>
                <c:pt idx="34">
                  <c:v>833</c:v>
                </c:pt>
                <c:pt idx="35">
                  <c:v>844</c:v>
                </c:pt>
                <c:pt idx="36">
                  <c:v>954</c:v>
                </c:pt>
                <c:pt idx="37">
                  <c:v>1021</c:v>
                </c:pt>
                <c:pt idx="38">
                  <c:v>1084</c:v>
                </c:pt>
                <c:pt idx="39">
                  <c:v>1131</c:v>
                </c:pt>
                <c:pt idx="40">
                  <c:v>1287</c:v>
                </c:pt>
                <c:pt idx="41">
                  <c:v>1430</c:v>
                </c:pt>
                <c:pt idx="42">
                  <c:v>1583</c:v>
                </c:pt>
                <c:pt idx="43">
                  <c:v>1456</c:v>
                </c:pt>
                <c:pt idx="44">
                  <c:v>1408</c:v>
                </c:pt>
                <c:pt idx="45">
                  <c:v>1388</c:v>
                </c:pt>
                <c:pt idx="46">
                  <c:v>1345</c:v>
                </c:pt>
                <c:pt idx="47">
                  <c:v>1423</c:v>
                </c:pt>
                <c:pt idx="48">
                  <c:v>1390</c:v>
                </c:pt>
                <c:pt idx="49">
                  <c:v>1349</c:v>
                </c:pt>
                <c:pt idx="50">
                  <c:v>1428</c:v>
                </c:pt>
                <c:pt idx="51">
                  <c:v>1557</c:v>
                </c:pt>
                <c:pt idx="52">
                  <c:v>1774</c:v>
                </c:pt>
                <c:pt idx="53" formatCode="General">
                  <c:v>1846</c:v>
                </c:pt>
                <c:pt idx="54" formatCode="General">
                  <c:v>1849</c:v>
                </c:pt>
                <c:pt idx="55" formatCode="General">
                  <c:v>1792</c:v>
                </c:pt>
                <c:pt idx="56" formatCode="General">
                  <c:v>1465</c:v>
                </c:pt>
                <c:pt idx="57" formatCode="General">
                  <c:v>1599</c:v>
                </c:pt>
                <c:pt idx="58" formatCode="General">
                  <c:v>1585</c:v>
                </c:pt>
                <c:pt idx="59" formatCode="General">
                  <c:v>1623</c:v>
                </c:pt>
                <c:pt idx="60" formatCode="General">
                  <c:v>1766</c:v>
                </c:pt>
                <c:pt idx="61" formatCode="General">
                  <c:v>1525</c:v>
                </c:pt>
                <c:pt idx="62" formatCode="General">
                  <c:v>1486</c:v>
                </c:pt>
                <c:pt idx="63" formatCode="General">
                  <c:v>1450</c:v>
                </c:pt>
                <c:pt idx="64" formatCode="General">
                  <c:v>1327</c:v>
                </c:pt>
                <c:pt idx="65" formatCode="General">
                  <c:v>1239</c:v>
                </c:pt>
                <c:pt idx="66" formatCode="General">
                  <c:v>1188</c:v>
                </c:pt>
                <c:pt idx="67" formatCode="General">
                  <c:v>1346</c:v>
                </c:pt>
                <c:pt idx="68" formatCode="General">
                  <c:v>1585</c:v>
                </c:pt>
                <c:pt idx="69" formatCode="General">
                  <c:v>1566</c:v>
                </c:pt>
                <c:pt idx="70" formatCode="General">
                  <c:v>1463</c:v>
                </c:pt>
                <c:pt idx="71" formatCode="General">
                  <c:v>1254</c:v>
                </c:pt>
                <c:pt idx="72" formatCode="General">
                  <c:v>1215</c:v>
                </c:pt>
                <c:pt idx="73" formatCode="General">
                  <c:v>1165</c:v>
                </c:pt>
                <c:pt idx="74" formatCode="General">
                  <c:v>1103</c:v>
                </c:pt>
                <c:pt idx="75" formatCode="General">
                  <c:v>1061</c:v>
                </c:pt>
                <c:pt idx="76" formatCode="General">
                  <c:v>1092</c:v>
                </c:pt>
                <c:pt idx="77" formatCode="General">
                  <c:v>1039</c:v>
                </c:pt>
                <c:pt idx="78" formatCode="General">
                  <c:v>991</c:v>
                </c:pt>
                <c:pt idx="79" formatCode="General">
                  <c:v>996</c:v>
                </c:pt>
                <c:pt idx="80" formatCode="General">
                  <c:v>1057</c:v>
                </c:pt>
                <c:pt idx="81" formatCode="General">
                  <c:v>962</c:v>
                </c:pt>
                <c:pt idx="82" formatCode="General">
                  <c:v>959</c:v>
                </c:pt>
                <c:pt idx="83" formatCode="General">
                  <c:v>1002</c:v>
                </c:pt>
                <c:pt idx="84" formatCode="General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C-4A3E-A513-99F9344EBDB9}"/>
            </c:ext>
          </c:extLst>
        </c:ser>
        <c:ser>
          <c:idx val="2"/>
          <c:order val="2"/>
          <c:tx>
            <c:strRef>
              <c:f>'Figure 6'!$D$1</c:f>
              <c:strCache>
                <c:ptCount val="1"/>
                <c:pt idx="0">
                  <c:v>Soybean oil, FOB, Argentina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6'!$A$2:$A$86</c:f>
              <c:numCache>
                <c:formatCode>mmm\.\ yy</c:formatCode>
                <c:ptCount val="85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  <c:pt idx="65">
                  <c:v>45017</c:v>
                </c:pt>
                <c:pt idx="66">
                  <c:v>45047</c:v>
                </c:pt>
                <c:pt idx="67">
                  <c:v>45078</c:v>
                </c:pt>
                <c:pt idx="68">
                  <c:v>45108</c:v>
                </c:pt>
                <c:pt idx="69">
                  <c:v>45139</c:v>
                </c:pt>
                <c:pt idx="70">
                  <c:v>45170</c:v>
                </c:pt>
                <c:pt idx="71">
                  <c:v>45200</c:v>
                </c:pt>
                <c:pt idx="72">
                  <c:v>45231</c:v>
                </c:pt>
                <c:pt idx="73">
                  <c:v>45261</c:v>
                </c:pt>
                <c:pt idx="74">
                  <c:v>45292</c:v>
                </c:pt>
                <c:pt idx="75">
                  <c:v>45323</c:v>
                </c:pt>
                <c:pt idx="76">
                  <c:v>45352</c:v>
                </c:pt>
                <c:pt idx="77">
                  <c:v>45383</c:v>
                </c:pt>
                <c:pt idx="78">
                  <c:v>45413</c:v>
                </c:pt>
                <c:pt idx="79">
                  <c:v>45444</c:v>
                </c:pt>
                <c:pt idx="80">
                  <c:v>45474</c:v>
                </c:pt>
                <c:pt idx="81">
                  <c:v>45505</c:v>
                </c:pt>
                <c:pt idx="82">
                  <c:v>45536</c:v>
                </c:pt>
                <c:pt idx="83">
                  <c:v>45566</c:v>
                </c:pt>
                <c:pt idx="84">
                  <c:v>45597</c:v>
                </c:pt>
              </c:numCache>
            </c:numRef>
          </c:cat>
          <c:val>
            <c:numRef>
              <c:f>'Figure 6'!$D$2:$D$182</c:f>
              <c:numCache>
                <c:formatCode>0</c:formatCode>
                <c:ptCount val="181"/>
                <c:pt idx="0">
                  <c:v>786</c:v>
                </c:pt>
                <c:pt idx="1">
                  <c:v>758</c:v>
                </c:pt>
                <c:pt idx="2">
                  <c:v>768</c:v>
                </c:pt>
                <c:pt idx="3">
                  <c:v>757</c:v>
                </c:pt>
                <c:pt idx="4">
                  <c:v>748</c:v>
                </c:pt>
                <c:pt idx="5">
                  <c:v>758</c:v>
                </c:pt>
                <c:pt idx="6">
                  <c:v>716</c:v>
                </c:pt>
                <c:pt idx="7">
                  <c:v>683</c:v>
                </c:pt>
                <c:pt idx="8">
                  <c:v>663</c:v>
                </c:pt>
                <c:pt idx="9">
                  <c:v>645</c:v>
                </c:pt>
                <c:pt idx="10">
                  <c:v>645</c:v>
                </c:pt>
                <c:pt idx="11">
                  <c:v>660</c:v>
                </c:pt>
                <c:pt idx="12">
                  <c:v>635</c:v>
                </c:pt>
                <c:pt idx="13">
                  <c:v>623</c:v>
                </c:pt>
                <c:pt idx="14">
                  <c:v>654</c:v>
                </c:pt>
                <c:pt idx="15">
                  <c:v>685</c:v>
                </c:pt>
                <c:pt idx="16">
                  <c:v>644</c:v>
                </c:pt>
                <c:pt idx="17">
                  <c:v>634</c:v>
                </c:pt>
                <c:pt idx="18">
                  <c:v>639</c:v>
                </c:pt>
                <c:pt idx="19">
                  <c:v>629</c:v>
                </c:pt>
                <c:pt idx="20">
                  <c:v>640</c:v>
                </c:pt>
                <c:pt idx="21">
                  <c:v>675</c:v>
                </c:pt>
                <c:pt idx="22">
                  <c:v>672</c:v>
                </c:pt>
                <c:pt idx="23">
                  <c:v>667</c:v>
                </c:pt>
                <c:pt idx="24">
                  <c:v>699</c:v>
                </c:pt>
                <c:pt idx="25">
                  <c:v>765</c:v>
                </c:pt>
                <c:pt idx="26">
                  <c:v>795</c:v>
                </c:pt>
                <c:pt idx="27">
                  <c:v>719</c:v>
                </c:pt>
                <c:pt idx="28">
                  <c:v>614</c:v>
                </c:pt>
                <c:pt idx="29">
                  <c:v>589</c:v>
                </c:pt>
                <c:pt idx="30">
                  <c:v>595</c:v>
                </c:pt>
                <c:pt idx="31">
                  <c:v>660</c:v>
                </c:pt>
                <c:pt idx="32">
                  <c:v>714</c:v>
                </c:pt>
                <c:pt idx="33">
                  <c:v>747</c:v>
                </c:pt>
                <c:pt idx="34">
                  <c:v>801</c:v>
                </c:pt>
                <c:pt idx="35">
                  <c:v>823</c:v>
                </c:pt>
                <c:pt idx="36">
                  <c:v>947</c:v>
                </c:pt>
                <c:pt idx="37">
                  <c:v>1022</c:v>
                </c:pt>
                <c:pt idx="38">
                  <c:v>1042</c:v>
                </c:pt>
                <c:pt idx="39">
                  <c:v>1070</c:v>
                </c:pt>
                <c:pt idx="40">
                  <c:v>1209</c:v>
                </c:pt>
                <c:pt idx="41">
                  <c:v>1220</c:v>
                </c:pt>
                <c:pt idx="42">
                  <c:v>1348</c:v>
                </c:pt>
                <c:pt idx="43">
                  <c:v>1190</c:v>
                </c:pt>
                <c:pt idx="44">
                  <c:v>1241</c:v>
                </c:pt>
                <c:pt idx="45">
                  <c:v>1301</c:v>
                </c:pt>
                <c:pt idx="46">
                  <c:v>1305</c:v>
                </c:pt>
                <c:pt idx="47">
                  <c:v>1392</c:v>
                </c:pt>
                <c:pt idx="48">
                  <c:v>1389</c:v>
                </c:pt>
                <c:pt idx="49">
                  <c:v>1352</c:v>
                </c:pt>
                <c:pt idx="50">
                  <c:v>1374</c:v>
                </c:pt>
                <c:pt idx="51">
                  <c:v>1531</c:v>
                </c:pt>
                <c:pt idx="52">
                  <c:v>1746</c:v>
                </c:pt>
                <c:pt idx="53">
                  <c:v>1836</c:v>
                </c:pt>
                <c:pt idx="54" formatCode="General">
                  <c:v>1802</c:v>
                </c:pt>
                <c:pt idx="55">
                  <c:v>1594</c:v>
                </c:pt>
                <c:pt idx="56">
                  <c:v>1317</c:v>
                </c:pt>
                <c:pt idx="57">
                  <c:v>1370</c:v>
                </c:pt>
                <c:pt idx="58">
                  <c:v>1191</c:v>
                </c:pt>
                <c:pt idx="59">
                  <c:v>1290</c:v>
                </c:pt>
                <c:pt idx="60">
                  <c:v>1375</c:v>
                </c:pt>
                <c:pt idx="61">
                  <c:v>1240</c:v>
                </c:pt>
                <c:pt idx="62">
                  <c:v>1181</c:v>
                </c:pt>
                <c:pt idx="63">
                  <c:v>1161</c:v>
                </c:pt>
                <c:pt idx="64">
                  <c:v>1065</c:v>
                </c:pt>
                <c:pt idx="65">
                  <c:v>953</c:v>
                </c:pt>
                <c:pt idx="66">
                  <c:v>919</c:v>
                </c:pt>
                <c:pt idx="67">
                  <c:v>964</c:v>
                </c:pt>
                <c:pt idx="68">
                  <c:v>1006</c:v>
                </c:pt>
                <c:pt idx="69">
                  <c:v>986</c:v>
                </c:pt>
                <c:pt idx="70">
                  <c:v>937</c:v>
                </c:pt>
                <c:pt idx="71">
                  <c:v>910</c:v>
                </c:pt>
                <c:pt idx="72">
                  <c:v>998</c:v>
                </c:pt>
                <c:pt idx="73">
                  <c:v>893</c:v>
                </c:pt>
                <c:pt idx="74">
                  <c:v>851</c:v>
                </c:pt>
                <c:pt idx="75">
                  <c:v>833</c:v>
                </c:pt>
                <c:pt idx="76">
                  <c:v>907</c:v>
                </c:pt>
                <c:pt idx="77">
                  <c:v>891</c:v>
                </c:pt>
                <c:pt idx="78">
                  <c:v>910</c:v>
                </c:pt>
                <c:pt idx="79">
                  <c:v>940</c:v>
                </c:pt>
                <c:pt idx="80">
                  <c:v>944</c:v>
                </c:pt>
                <c:pt idx="81">
                  <c:v>921</c:v>
                </c:pt>
                <c:pt idx="82">
                  <c:v>945</c:v>
                </c:pt>
                <c:pt idx="83">
                  <c:v>1067</c:v>
                </c:pt>
                <c:pt idx="8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C-4A3E-A513-99F9344EBDB9}"/>
            </c:ext>
          </c:extLst>
        </c:ser>
        <c:ser>
          <c:idx val="3"/>
          <c:order val="3"/>
          <c:tx>
            <c:strRef>
              <c:f>'Figure 6'!$B$1</c:f>
              <c:strCache>
                <c:ptCount val="1"/>
                <c:pt idx="0">
                  <c:v>Palm oil RBD, FOB, Malaysia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prstDash val="dash"/>
              </a:ln>
              <a:effectLst/>
            </c:spPr>
          </c:marker>
          <c:cat>
            <c:numRef>
              <c:f>'Figure 6'!$A$2:$A$86</c:f>
              <c:numCache>
                <c:formatCode>mmm\.\ yy</c:formatCode>
                <c:ptCount val="85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  <c:pt idx="65">
                  <c:v>45017</c:v>
                </c:pt>
                <c:pt idx="66">
                  <c:v>45047</c:v>
                </c:pt>
                <c:pt idx="67">
                  <c:v>45078</c:v>
                </c:pt>
                <c:pt idx="68">
                  <c:v>45108</c:v>
                </c:pt>
                <c:pt idx="69">
                  <c:v>45139</c:v>
                </c:pt>
                <c:pt idx="70">
                  <c:v>45170</c:v>
                </c:pt>
                <c:pt idx="71">
                  <c:v>45200</c:v>
                </c:pt>
                <c:pt idx="72">
                  <c:v>45231</c:v>
                </c:pt>
                <c:pt idx="73">
                  <c:v>45261</c:v>
                </c:pt>
                <c:pt idx="74">
                  <c:v>45292</c:v>
                </c:pt>
                <c:pt idx="75">
                  <c:v>45323</c:v>
                </c:pt>
                <c:pt idx="76">
                  <c:v>45352</c:v>
                </c:pt>
                <c:pt idx="77">
                  <c:v>45383</c:v>
                </c:pt>
                <c:pt idx="78">
                  <c:v>45413</c:v>
                </c:pt>
                <c:pt idx="79">
                  <c:v>45444</c:v>
                </c:pt>
                <c:pt idx="80">
                  <c:v>45474</c:v>
                </c:pt>
                <c:pt idx="81">
                  <c:v>45505</c:v>
                </c:pt>
                <c:pt idx="82">
                  <c:v>45536</c:v>
                </c:pt>
                <c:pt idx="83">
                  <c:v>45566</c:v>
                </c:pt>
                <c:pt idx="84">
                  <c:v>45597</c:v>
                </c:pt>
              </c:numCache>
            </c:numRef>
          </c:cat>
          <c:val>
            <c:numRef>
              <c:f>'Figure 6'!$B$2:$B$86</c:f>
              <c:numCache>
                <c:formatCode>General</c:formatCode>
                <c:ptCount val="85"/>
                <c:pt idx="0">
                  <c:v>670</c:v>
                </c:pt>
                <c:pt idx="1">
                  <c:v>619</c:v>
                </c:pt>
                <c:pt idx="2">
                  <c:v>650</c:v>
                </c:pt>
                <c:pt idx="3">
                  <c:v>654</c:v>
                </c:pt>
                <c:pt idx="4">
                  <c:v>658</c:v>
                </c:pt>
                <c:pt idx="5">
                  <c:v>651</c:v>
                </c:pt>
                <c:pt idx="6">
                  <c:v>639</c:v>
                </c:pt>
                <c:pt idx="7">
                  <c:v>605</c:v>
                </c:pt>
                <c:pt idx="8">
                  <c:v>570</c:v>
                </c:pt>
                <c:pt idx="9">
                  <c:v>559</c:v>
                </c:pt>
                <c:pt idx="10">
                  <c:v>552</c:v>
                </c:pt>
                <c:pt idx="11">
                  <c:v>539</c:v>
                </c:pt>
                <c:pt idx="12">
                  <c:v>492</c:v>
                </c:pt>
                <c:pt idx="13">
                  <c:v>489</c:v>
                </c:pt>
                <c:pt idx="14">
                  <c:v>538</c:v>
                </c:pt>
                <c:pt idx="15">
                  <c:v>556</c:v>
                </c:pt>
                <c:pt idx="16">
                  <c:v>523</c:v>
                </c:pt>
                <c:pt idx="17">
                  <c:v>538</c:v>
                </c:pt>
                <c:pt idx="18">
                  <c:v>511</c:v>
                </c:pt>
                <c:pt idx="19">
                  <c:v>502</c:v>
                </c:pt>
                <c:pt idx="20">
                  <c:v>494</c:v>
                </c:pt>
                <c:pt idx="21">
                  <c:v>536</c:v>
                </c:pt>
                <c:pt idx="22">
                  <c:v>532</c:v>
                </c:pt>
                <c:pt idx="23">
                  <c:v>547</c:v>
                </c:pt>
                <c:pt idx="24">
                  <c:v>641</c:v>
                </c:pt>
                <c:pt idx="25">
                  <c:v>718</c:v>
                </c:pt>
                <c:pt idx="26">
                  <c:v>761</c:v>
                </c:pt>
                <c:pt idx="27">
                  <c:v>677</c:v>
                </c:pt>
                <c:pt idx="28">
                  <c:v>589</c:v>
                </c:pt>
                <c:pt idx="29">
                  <c:v>563</c:v>
                </c:pt>
                <c:pt idx="30">
                  <c:v>529</c:v>
                </c:pt>
                <c:pt idx="31">
                  <c:v>605</c:v>
                </c:pt>
                <c:pt idx="32">
                  <c:v>643</c:v>
                </c:pt>
                <c:pt idx="33">
                  <c:v>715</c:v>
                </c:pt>
                <c:pt idx="34">
                  <c:v>746</c:v>
                </c:pt>
                <c:pt idx="35">
                  <c:v>767</c:v>
                </c:pt>
                <c:pt idx="36">
                  <c:v>878</c:v>
                </c:pt>
                <c:pt idx="37">
                  <c:v>929</c:v>
                </c:pt>
                <c:pt idx="38">
                  <c:v>980</c:v>
                </c:pt>
                <c:pt idx="39">
                  <c:v>1017</c:v>
                </c:pt>
                <c:pt idx="40">
                  <c:v>1036</c:v>
                </c:pt>
                <c:pt idx="41">
                  <c:v>1075</c:v>
                </c:pt>
                <c:pt idx="42">
                  <c:v>1149</c:v>
                </c:pt>
                <c:pt idx="43">
                  <c:v>1015</c:v>
                </c:pt>
                <c:pt idx="44">
                  <c:v>1072</c:v>
                </c:pt>
                <c:pt idx="45">
                  <c:v>1151</c:v>
                </c:pt>
                <c:pt idx="46">
                  <c:v>1187</c:v>
                </c:pt>
                <c:pt idx="47">
                  <c:v>1318</c:v>
                </c:pt>
                <c:pt idx="48">
                  <c:v>1338</c:v>
                </c:pt>
                <c:pt idx="49">
                  <c:v>1259</c:v>
                </c:pt>
                <c:pt idx="50">
                  <c:v>1358</c:v>
                </c:pt>
                <c:pt idx="51">
                  <c:v>1540</c:v>
                </c:pt>
                <c:pt idx="52">
                  <c:v>1776</c:v>
                </c:pt>
                <c:pt idx="53">
                  <c:v>1702</c:v>
                </c:pt>
                <c:pt idx="54">
                  <c:v>1703</c:v>
                </c:pt>
                <c:pt idx="55">
                  <c:v>1473</c:v>
                </c:pt>
                <c:pt idx="56">
                  <c:v>1017</c:v>
                </c:pt>
                <c:pt idx="57">
                  <c:v>1016</c:v>
                </c:pt>
                <c:pt idx="58">
                  <c:v>901</c:v>
                </c:pt>
                <c:pt idx="59">
                  <c:v>901</c:v>
                </c:pt>
                <c:pt idx="60">
                  <c:v>940</c:v>
                </c:pt>
                <c:pt idx="61">
                  <c:v>953</c:v>
                </c:pt>
                <c:pt idx="62">
                  <c:v>943</c:v>
                </c:pt>
                <c:pt idx="63">
                  <c:v>959</c:v>
                </c:pt>
                <c:pt idx="64">
                  <c:v>971</c:v>
                </c:pt>
                <c:pt idx="65">
                  <c:v>975</c:v>
                </c:pt>
                <c:pt idx="66">
                  <c:v>877</c:v>
                </c:pt>
                <c:pt idx="67">
                  <c:v>804</c:v>
                </c:pt>
                <c:pt idx="68">
                  <c:v>891</c:v>
                </c:pt>
                <c:pt idx="69">
                  <c:v>867</c:v>
                </c:pt>
                <c:pt idx="70">
                  <c:v>834</c:v>
                </c:pt>
                <c:pt idx="71">
                  <c:v>810</c:v>
                </c:pt>
                <c:pt idx="72">
                  <c:v>840</c:v>
                </c:pt>
                <c:pt idx="73">
                  <c:v>825</c:v>
                </c:pt>
                <c:pt idx="74">
                  <c:v>853</c:v>
                </c:pt>
                <c:pt idx="75">
                  <c:v>863</c:v>
                </c:pt>
                <c:pt idx="76">
                  <c:v>955</c:v>
                </c:pt>
                <c:pt idx="77">
                  <c:v>926</c:v>
                </c:pt>
                <c:pt idx="78">
                  <c:v>861</c:v>
                </c:pt>
                <c:pt idx="79">
                  <c:v>833</c:v>
                </c:pt>
                <c:pt idx="80">
                  <c:v>900</c:v>
                </c:pt>
                <c:pt idx="81">
                  <c:v>923</c:v>
                </c:pt>
                <c:pt idx="82">
                  <c:v>988</c:v>
                </c:pt>
                <c:pt idx="83">
                  <c:v>1089</c:v>
                </c:pt>
                <c:pt idx="84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5C-4A3E-A513-99F9344EB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'Figure 6'!$D$1</c15:sqref>
                        </c15:formulaRef>
                      </c:ext>
                    </c:extLst>
                    <c:strCache>
                      <c:ptCount val="1"/>
                      <c:pt idx="0">
                        <c:v>Soybean oil, FOB, Argentina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6'!$A$2:$A$86</c15:sqref>
                        </c15:formulaRef>
                      </c:ext>
                    </c:extLst>
                    <c:numCache>
                      <c:formatCode>mmm\.\ yy</c:formatCode>
                      <c:ptCount val="85"/>
                      <c:pt idx="0">
                        <c:v>43040</c:v>
                      </c:pt>
                      <c:pt idx="1">
                        <c:v>43070</c:v>
                      </c:pt>
                      <c:pt idx="2">
                        <c:v>43101</c:v>
                      </c:pt>
                      <c:pt idx="3">
                        <c:v>43132</c:v>
                      </c:pt>
                      <c:pt idx="4">
                        <c:v>43160</c:v>
                      </c:pt>
                      <c:pt idx="5">
                        <c:v>43191</c:v>
                      </c:pt>
                      <c:pt idx="6">
                        <c:v>43221</c:v>
                      </c:pt>
                      <c:pt idx="7">
                        <c:v>43252</c:v>
                      </c:pt>
                      <c:pt idx="8">
                        <c:v>43282</c:v>
                      </c:pt>
                      <c:pt idx="9">
                        <c:v>43313</c:v>
                      </c:pt>
                      <c:pt idx="10">
                        <c:v>43344</c:v>
                      </c:pt>
                      <c:pt idx="11">
                        <c:v>43374</c:v>
                      </c:pt>
                      <c:pt idx="12">
                        <c:v>43405</c:v>
                      </c:pt>
                      <c:pt idx="13">
                        <c:v>43435</c:v>
                      </c:pt>
                      <c:pt idx="14">
                        <c:v>43466</c:v>
                      </c:pt>
                      <c:pt idx="15">
                        <c:v>43497</c:v>
                      </c:pt>
                      <c:pt idx="16">
                        <c:v>43525</c:v>
                      </c:pt>
                      <c:pt idx="17">
                        <c:v>43556</c:v>
                      </c:pt>
                      <c:pt idx="18">
                        <c:v>43586</c:v>
                      </c:pt>
                      <c:pt idx="19">
                        <c:v>43617</c:v>
                      </c:pt>
                      <c:pt idx="20">
                        <c:v>43647</c:v>
                      </c:pt>
                      <c:pt idx="21">
                        <c:v>43678</c:v>
                      </c:pt>
                      <c:pt idx="22">
                        <c:v>43709</c:v>
                      </c:pt>
                      <c:pt idx="23">
                        <c:v>43739</c:v>
                      </c:pt>
                      <c:pt idx="24">
                        <c:v>43770</c:v>
                      </c:pt>
                      <c:pt idx="25">
                        <c:v>43800</c:v>
                      </c:pt>
                      <c:pt idx="26">
                        <c:v>43831</c:v>
                      </c:pt>
                      <c:pt idx="27">
                        <c:v>43862</c:v>
                      </c:pt>
                      <c:pt idx="28">
                        <c:v>43891</c:v>
                      </c:pt>
                      <c:pt idx="29">
                        <c:v>43922</c:v>
                      </c:pt>
                      <c:pt idx="30">
                        <c:v>43952</c:v>
                      </c:pt>
                      <c:pt idx="31">
                        <c:v>43983</c:v>
                      </c:pt>
                      <c:pt idx="32">
                        <c:v>44013</c:v>
                      </c:pt>
                      <c:pt idx="33">
                        <c:v>44044</c:v>
                      </c:pt>
                      <c:pt idx="34">
                        <c:v>44075</c:v>
                      </c:pt>
                      <c:pt idx="35">
                        <c:v>44105</c:v>
                      </c:pt>
                      <c:pt idx="36">
                        <c:v>44136</c:v>
                      </c:pt>
                      <c:pt idx="37">
                        <c:v>44166</c:v>
                      </c:pt>
                      <c:pt idx="38">
                        <c:v>44197</c:v>
                      </c:pt>
                      <c:pt idx="39">
                        <c:v>44228</c:v>
                      </c:pt>
                      <c:pt idx="40">
                        <c:v>44256</c:v>
                      </c:pt>
                      <c:pt idx="41">
                        <c:v>44287</c:v>
                      </c:pt>
                      <c:pt idx="42">
                        <c:v>44317</c:v>
                      </c:pt>
                      <c:pt idx="43">
                        <c:v>44348</c:v>
                      </c:pt>
                      <c:pt idx="44">
                        <c:v>44378</c:v>
                      </c:pt>
                      <c:pt idx="45">
                        <c:v>44409</c:v>
                      </c:pt>
                      <c:pt idx="46">
                        <c:v>44440</c:v>
                      </c:pt>
                      <c:pt idx="47">
                        <c:v>44470</c:v>
                      </c:pt>
                      <c:pt idx="48">
                        <c:v>44501</c:v>
                      </c:pt>
                      <c:pt idx="49">
                        <c:v>44531</c:v>
                      </c:pt>
                      <c:pt idx="50">
                        <c:v>44562</c:v>
                      </c:pt>
                      <c:pt idx="51">
                        <c:v>44593</c:v>
                      </c:pt>
                      <c:pt idx="52">
                        <c:v>44621</c:v>
                      </c:pt>
                      <c:pt idx="53">
                        <c:v>44652</c:v>
                      </c:pt>
                      <c:pt idx="54">
                        <c:v>44682</c:v>
                      </c:pt>
                      <c:pt idx="55">
                        <c:v>44713</c:v>
                      </c:pt>
                      <c:pt idx="56">
                        <c:v>44743</c:v>
                      </c:pt>
                      <c:pt idx="57">
                        <c:v>44774</c:v>
                      </c:pt>
                      <c:pt idx="58">
                        <c:v>44805</c:v>
                      </c:pt>
                      <c:pt idx="59">
                        <c:v>44835</c:v>
                      </c:pt>
                      <c:pt idx="60">
                        <c:v>44866</c:v>
                      </c:pt>
                      <c:pt idx="61">
                        <c:v>44896</c:v>
                      </c:pt>
                      <c:pt idx="62">
                        <c:v>44927</c:v>
                      </c:pt>
                      <c:pt idx="63">
                        <c:v>44958</c:v>
                      </c:pt>
                      <c:pt idx="64">
                        <c:v>44986</c:v>
                      </c:pt>
                      <c:pt idx="65">
                        <c:v>45017</c:v>
                      </c:pt>
                      <c:pt idx="66">
                        <c:v>45047</c:v>
                      </c:pt>
                      <c:pt idx="67">
                        <c:v>45078</c:v>
                      </c:pt>
                      <c:pt idx="68">
                        <c:v>45108</c:v>
                      </c:pt>
                      <c:pt idx="69">
                        <c:v>45139</c:v>
                      </c:pt>
                      <c:pt idx="70">
                        <c:v>45170</c:v>
                      </c:pt>
                      <c:pt idx="71">
                        <c:v>45200</c:v>
                      </c:pt>
                      <c:pt idx="72">
                        <c:v>45231</c:v>
                      </c:pt>
                      <c:pt idx="73">
                        <c:v>45261</c:v>
                      </c:pt>
                      <c:pt idx="74">
                        <c:v>45292</c:v>
                      </c:pt>
                      <c:pt idx="75">
                        <c:v>45323</c:v>
                      </c:pt>
                      <c:pt idx="76">
                        <c:v>45352</c:v>
                      </c:pt>
                      <c:pt idx="77">
                        <c:v>45383</c:v>
                      </c:pt>
                      <c:pt idx="78">
                        <c:v>45413</c:v>
                      </c:pt>
                      <c:pt idx="79">
                        <c:v>45444</c:v>
                      </c:pt>
                      <c:pt idx="80">
                        <c:v>45474</c:v>
                      </c:pt>
                      <c:pt idx="81">
                        <c:v>45505</c:v>
                      </c:pt>
                      <c:pt idx="82">
                        <c:v>45536</c:v>
                      </c:pt>
                      <c:pt idx="83">
                        <c:v>45566</c:v>
                      </c:pt>
                      <c:pt idx="84">
                        <c:v>45597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6'!$D$2:$D$86</c15:sqref>
                        </c15:formulaRef>
                      </c:ext>
                    </c:extLst>
                    <c:numCache>
                      <c:formatCode>0</c:formatCode>
                      <c:ptCount val="85"/>
                      <c:pt idx="0">
                        <c:v>786</c:v>
                      </c:pt>
                      <c:pt idx="1">
                        <c:v>758</c:v>
                      </c:pt>
                      <c:pt idx="2">
                        <c:v>768</c:v>
                      </c:pt>
                      <c:pt idx="3">
                        <c:v>757</c:v>
                      </c:pt>
                      <c:pt idx="4">
                        <c:v>748</c:v>
                      </c:pt>
                      <c:pt idx="5">
                        <c:v>758</c:v>
                      </c:pt>
                      <c:pt idx="6">
                        <c:v>716</c:v>
                      </c:pt>
                      <c:pt idx="7">
                        <c:v>683</c:v>
                      </c:pt>
                      <c:pt idx="8">
                        <c:v>663</c:v>
                      </c:pt>
                      <c:pt idx="9">
                        <c:v>645</c:v>
                      </c:pt>
                      <c:pt idx="10">
                        <c:v>645</c:v>
                      </c:pt>
                      <c:pt idx="11">
                        <c:v>660</c:v>
                      </c:pt>
                      <c:pt idx="12">
                        <c:v>635</c:v>
                      </c:pt>
                      <c:pt idx="13">
                        <c:v>623</c:v>
                      </c:pt>
                      <c:pt idx="14">
                        <c:v>654</c:v>
                      </c:pt>
                      <c:pt idx="15">
                        <c:v>685</c:v>
                      </c:pt>
                      <c:pt idx="16">
                        <c:v>644</c:v>
                      </c:pt>
                      <c:pt idx="17">
                        <c:v>634</c:v>
                      </c:pt>
                      <c:pt idx="18">
                        <c:v>639</c:v>
                      </c:pt>
                      <c:pt idx="19">
                        <c:v>629</c:v>
                      </c:pt>
                      <c:pt idx="20">
                        <c:v>640</c:v>
                      </c:pt>
                      <c:pt idx="21">
                        <c:v>675</c:v>
                      </c:pt>
                      <c:pt idx="22">
                        <c:v>672</c:v>
                      </c:pt>
                      <c:pt idx="23">
                        <c:v>667</c:v>
                      </c:pt>
                      <c:pt idx="24">
                        <c:v>699</c:v>
                      </c:pt>
                      <c:pt idx="25">
                        <c:v>765</c:v>
                      </c:pt>
                      <c:pt idx="26">
                        <c:v>795</c:v>
                      </c:pt>
                      <c:pt idx="27">
                        <c:v>719</c:v>
                      </c:pt>
                      <c:pt idx="28">
                        <c:v>614</c:v>
                      </c:pt>
                      <c:pt idx="29">
                        <c:v>589</c:v>
                      </c:pt>
                      <c:pt idx="30">
                        <c:v>595</c:v>
                      </c:pt>
                      <c:pt idx="31">
                        <c:v>660</c:v>
                      </c:pt>
                      <c:pt idx="32">
                        <c:v>714</c:v>
                      </c:pt>
                      <c:pt idx="33">
                        <c:v>747</c:v>
                      </c:pt>
                      <c:pt idx="34">
                        <c:v>801</c:v>
                      </c:pt>
                      <c:pt idx="35">
                        <c:v>823</c:v>
                      </c:pt>
                      <c:pt idx="36">
                        <c:v>947</c:v>
                      </c:pt>
                      <c:pt idx="37">
                        <c:v>1022</c:v>
                      </c:pt>
                      <c:pt idx="38">
                        <c:v>1042</c:v>
                      </c:pt>
                      <c:pt idx="39">
                        <c:v>1070</c:v>
                      </c:pt>
                      <c:pt idx="40">
                        <c:v>1209</c:v>
                      </c:pt>
                      <c:pt idx="41">
                        <c:v>1220</c:v>
                      </c:pt>
                      <c:pt idx="42">
                        <c:v>1348</c:v>
                      </c:pt>
                      <c:pt idx="43">
                        <c:v>1190</c:v>
                      </c:pt>
                      <c:pt idx="44">
                        <c:v>1241</c:v>
                      </c:pt>
                      <c:pt idx="45">
                        <c:v>1301</c:v>
                      </c:pt>
                      <c:pt idx="46">
                        <c:v>1305</c:v>
                      </c:pt>
                      <c:pt idx="47">
                        <c:v>1392</c:v>
                      </c:pt>
                      <c:pt idx="48">
                        <c:v>1389</c:v>
                      </c:pt>
                      <c:pt idx="49">
                        <c:v>1352</c:v>
                      </c:pt>
                      <c:pt idx="50">
                        <c:v>1374</c:v>
                      </c:pt>
                      <c:pt idx="51">
                        <c:v>1531</c:v>
                      </c:pt>
                      <c:pt idx="52">
                        <c:v>1746</c:v>
                      </c:pt>
                      <c:pt idx="53">
                        <c:v>1836</c:v>
                      </c:pt>
                      <c:pt idx="54" formatCode="General">
                        <c:v>1802</c:v>
                      </c:pt>
                      <c:pt idx="55">
                        <c:v>1594</c:v>
                      </c:pt>
                      <c:pt idx="56">
                        <c:v>1317</c:v>
                      </c:pt>
                      <c:pt idx="57">
                        <c:v>1370</c:v>
                      </c:pt>
                      <c:pt idx="58">
                        <c:v>1191</c:v>
                      </c:pt>
                      <c:pt idx="59">
                        <c:v>1290</c:v>
                      </c:pt>
                      <c:pt idx="60">
                        <c:v>1375</c:v>
                      </c:pt>
                      <c:pt idx="61">
                        <c:v>1240</c:v>
                      </c:pt>
                      <c:pt idx="62">
                        <c:v>1181</c:v>
                      </c:pt>
                      <c:pt idx="63">
                        <c:v>1161</c:v>
                      </c:pt>
                      <c:pt idx="64">
                        <c:v>1065</c:v>
                      </c:pt>
                      <c:pt idx="65">
                        <c:v>953</c:v>
                      </c:pt>
                      <c:pt idx="66">
                        <c:v>919</c:v>
                      </c:pt>
                      <c:pt idx="67">
                        <c:v>964</c:v>
                      </c:pt>
                      <c:pt idx="68">
                        <c:v>1006</c:v>
                      </c:pt>
                      <c:pt idx="69">
                        <c:v>986</c:v>
                      </c:pt>
                      <c:pt idx="70">
                        <c:v>937</c:v>
                      </c:pt>
                      <c:pt idx="71">
                        <c:v>910</c:v>
                      </c:pt>
                      <c:pt idx="72">
                        <c:v>998</c:v>
                      </c:pt>
                      <c:pt idx="73">
                        <c:v>893</c:v>
                      </c:pt>
                      <c:pt idx="74">
                        <c:v>851</c:v>
                      </c:pt>
                      <c:pt idx="75">
                        <c:v>833</c:v>
                      </c:pt>
                      <c:pt idx="76">
                        <c:v>907</c:v>
                      </c:pt>
                      <c:pt idx="77">
                        <c:v>891</c:v>
                      </c:pt>
                      <c:pt idx="78">
                        <c:v>910</c:v>
                      </c:pt>
                      <c:pt idx="79">
                        <c:v>940</c:v>
                      </c:pt>
                      <c:pt idx="80">
                        <c:v>944</c:v>
                      </c:pt>
                      <c:pt idx="81">
                        <c:v>921</c:v>
                      </c:pt>
                      <c:pt idx="82">
                        <c:v>945</c:v>
                      </c:pt>
                      <c:pt idx="83">
                        <c:v>1067</c:v>
                      </c:pt>
                      <c:pt idx="84">
                        <c:v>1109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CA5C-4A3E-A513-99F9344EBDB9}"/>
                  </c:ext>
                </c:extLst>
              </c15:ser>
            </c15:filteredLineSeries>
          </c:ext>
        </c:extLst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429585545583907"/>
              <c:y val="0.88904459294788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.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  <c:majorUnit val="4"/>
        <c:majorTimeUnit val="month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4.605079201666939E-4"/>
              <c:y val="0.12937177985487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17155210081239436"/>
          <c:y val="0.10916588972913245"/>
          <c:w val="0.69673149339487017"/>
          <c:h val="4.3319520035483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236026</xdr:colOff>
      <xdr:row>0</xdr:row>
      <xdr:rowOff>21166</xdr:rowOff>
    </xdr:from>
    <xdr:to>
      <xdr:col>17</xdr:col>
      <xdr:colOff>173867</xdr:colOff>
      <xdr:row>29</xdr:row>
      <xdr:rowOff>2714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D4C7AD-CCCD-4B2D-BA4E-AB95556C8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0.89128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01745"/>
          <a:ext cx="7137397" cy="437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December 2024.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96945</xdr:colOff>
      <xdr:row>1</xdr:row>
      <xdr:rowOff>169332</xdr:rowOff>
    </xdr:from>
    <xdr:to>
      <xdr:col>19</xdr:col>
      <xdr:colOff>105413</xdr:colOff>
      <xdr:row>29</xdr:row>
      <xdr:rowOff>148166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10F020-E5D3-4F35-B354-AF9B14829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0.91515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35399"/>
          <a:ext cx="7359348" cy="355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FOB = Free On Board. RBD = Refined, Bleached, Deodorized.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Oil World.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0.87795</cdr:y>
    </cdr:from>
    <cdr:to>
      <cdr:x>1</cdr:x>
      <cdr:y>0.99393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52800"/>
          <a:ext cx="5943600" cy="442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= Marketing Year. </a:t>
          </a:r>
        </a:p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December 2024 average includes just the first week of data.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USDA, Agricultural Marking Service</a:t>
          </a:r>
          <a:r>
            <a:rPr kumimoji="0" lang="en-US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Market News</a:t>
          </a:r>
          <a:r>
            <a:rPr kumimoji="0" lang="en-US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586740</xdr:colOff>
      <xdr:row>0</xdr:row>
      <xdr:rowOff>11430</xdr:rowOff>
    </xdr:from>
    <xdr:to>
      <xdr:col>14</xdr:col>
      <xdr:colOff>495300</xdr:colOff>
      <xdr:row>22</xdr:row>
      <xdr:rowOff>80011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95D8B7-DD25-4AF7-52F9-EF60D9A47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0.90734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33725"/>
          <a:ext cx="5931416" cy="32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 Agricultural Statistics Service, Quick Stats; and USDA, Agricultural Marketing Service, My Market News.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226060</xdr:colOff>
      <xdr:row>0</xdr:row>
      <xdr:rowOff>2541</xdr:rowOff>
    </xdr:from>
    <xdr:to>
      <xdr:col>21</xdr:col>
      <xdr:colOff>365761</xdr:colOff>
      <xdr:row>20</xdr:row>
      <xdr:rowOff>65405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4BFD7-1FBC-A718-348F-455EBE311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0.84682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98905"/>
          <a:ext cx="6235701" cy="524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Total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commitments are the sum of outstanding sales and accumulated exports.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Export Sales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report.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312562</xdr:colOff>
      <xdr:row>0</xdr:row>
      <xdr:rowOff>0</xdr:rowOff>
    </xdr:from>
    <xdr:to>
      <xdr:col>20</xdr:col>
      <xdr:colOff>285394</xdr:colOff>
      <xdr:row>19</xdr:row>
      <xdr:rowOff>156280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0CB831-3CD0-44F7-8109-9DE058D89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555624</xdr:colOff>
      <xdr:row>5</xdr:row>
      <xdr:rowOff>30691</xdr:rowOff>
    </xdr:from>
    <xdr:to>
      <xdr:col>16</xdr:col>
      <xdr:colOff>412750</xdr:colOff>
      <xdr:row>13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55A63E-A0FC-42F6-9026-09266389A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571500</xdr:colOff>
      <xdr:row>5</xdr:row>
      <xdr:rowOff>63501</xdr:rowOff>
    </xdr:from>
    <xdr:to>
      <xdr:col>21</xdr:col>
      <xdr:colOff>338667</xdr:colOff>
      <xdr:row>13</xdr:row>
      <xdr:rowOff>84668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5F50D9-FCD8-4BA6-920B-A8D27740A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0.8802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29000"/>
          <a:ext cx="6807903" cy="44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=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Marketing year. </a:t>
          </a:r>
        </a:p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Total feedstocks used in biomass-based diesel production shown here only includes those feedstocks that were disclosed.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U.S. Department of Energy, Energy Information Administration.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403651</xdr:colOff>
      <xdr:row>0</xdr:row>
      <xdr:rowOff>114088</xdr:rowOff>
    </xdr:from>
    <xdr:to>
      <xdr:col>18</xdr:col>
      <xdr:colOff>179917</xdr:colOff>
      <xdr:row>24</xdr:row>
      <xdr:rowOff>86571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C773F5-6F99-423D-BA91-F6252F292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587300"/>
    </a:accent1>
    <a:accent2>
      <a:srgbClr val="730E00"/>
    </a:accent2>
    <a:accent3>
      <a:srgbClr val="002E73"/>
    </a:accent3>
    <a:accent4>
      <a:srgbClr val="4378C8"/>
    </a:accent4>
    <a:accent5>
      <a:srgbClr val="D6F279"/>
    </a:accent5>
    <a:accent6>
      <a:srgbClr val="F28779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/>
  </sheetViews>
  <sheetFormatPr defaultColWidth="9.5546875" defaultRowHeight="13.8"/>
  <cols>
    <col min="1" max="1" width="166.6640625" style="12" customWidth="1"/>
    <col min="2" max="16384" width="9.5546875" style="1"/>
  </cols>
  <sheetData>
    <row r="1" spans="1:3">
      <c r="B1" s="82"/>
      <c r="C1" s="82"/>
    </row>
    <row r="2" spans="1:3" s="2" customFormat="1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2"/>
    </row>
    <row r="5" spans="1:3">
      <c r="A5" s="10" t="s">
        <v>2</v>
      </c>
      <c r="B5" s="4"/>
      <c r="C5" s="82"/>
    </row>
    <row r="6" spans="1:3">
      <c r="A6" s="10" t="s">
        <v>3</v>
      </c>
      <c r="B6" s="4"/>
      <c r="C6" s="82"/>
    </row>
    <row r="7" spans="1:3">
      <c r="A7" s="10" t="s">
        <v>4</v>
      </c>
      <c r="B7" s="4"/>
      <c r="C7" s="82"/>
    </row>
    <row r="8" spans="1:3">
      <c r="A8" s="10" t="s">
        <v>5</v>
      </c>
      <c r="B8" s="4"/>
      <c r="C8" s="82"/>
    </row>
    <row r="9" spans="1:3">
      <c r="A9" s="10" t="s">
        <v>6</v>
      </c>
      <c r="B9" s="4"/>
      <c r="C9" s="82"/>
    </row>
    <row r="10" spans="1:3">
      <c r="A10" s="10" t="s">
        <v>7</v>
      </c>
      <c r="B10" s="4"/>
      <c r="C10" s="82"/>
    </row>
    <row r="11" spans="1:3">
      <c r="A11" s="10" t="s">
        <v>8</v>
      </c>
      <c r="B11" s="4"/>
      <c r="C11" s="82"/>
    </row>
    <row r="12" spans="1:3">
      <c r="A12" s="10" t="s">
        <v>9</v>
      </c>
      <c r="B12" s="4"/>
      <c r="C12" s="82"/>
    </row>
    <row r="13" spans="1:3">
      <c r="A13" s="10" t="s">
        <v>10</v>
      </c>
      <c r="B13" s="4"/>
      <c r="C13" s="82"/>
    </row>
    <row r="14" spans="1:3">
      <c r="A14" s="11" t="s">
        <v>11</v>
      </c>
      <c r="B14" s="4"/>
      <c r="C14" s="82"/>
    </row>
    <row r="15" spans="1:3">
      <c r="A15" s="11" t="s">
        <v>12</v>
      </c>
      <c r="B15" s="82"/>
      <c r="C15" s="82"/>
    </row>
    <row r="16" spans="1:3" ht="13.2">
      <c r="A16" s="82"/>
      <c r="B16" s="82"/>
      <c r="C16" s="82"/>
    </row>
    <row r="17" spans="1:3">
      <c r="A17" s="7" t="s">
        <v>13</v>
      </c>
      <c r="B17" s="82"/>
      <c r="C17" s="82"/>
    </row>
    <row r="18" spans="1:3">
      <c r="A18" s="9">
        <v>45638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2369-4835-4F48-95CF-5F60CD3F66E6}">
  <dimension ref="A1:C27"/>
  <sheetViews>
    <sheetView zoomScale="120" zoomScaleNormal="120" workbookViewId="0"/>
  </sheetViews>
  <sheetFormatPr defaultRowHeight="13.2"/>
  <cols>
    <col min="1" max="1" width="12.6640625" bestFit="1" customWidth="1"/>
    <col min="2" max="2" width="12.88671875" bestFit="1" customWidth="1"/>
    <col min="3" max="3" width="13.44140625" bestFit="1" customWidth="1"/>
  </cols>
  <sheetData>
    <row r="1" spans="1:3" ht="13.8" thickBot="1">
      <c r="A1" s="181" t="s">
        <v>182</v>
      </c>
      <c r="B1" s="181" t="s">
        <v>22</v>
      </c>
      <c r="C1" s="181" t="s">
        <v>183</v>
      </c>
    </row>
    <row r="2" spans="1:3">
      <c r="A2" s="183">
        <v>44805</v>
      </c>
      <c r="B2" s="182">
        <v>167.60956666666667</v>
      </c>
      <c r="C2" s="182">
        <v>3.953873524474071</v>
      </c>
    </row>
    <row r="3" spans="1:3">
      <c r="A3" s="183">
        <v>44835</v>
      </c>
      <c r="B3" s="182">
        <v>196.65646666666669</v>
      </c>
      <c r="C3" s="182">
        <v>5.5774980140919173</v>
      </c>
    </row>
    <row r="4" spans="1:3">
      <c r="A4" s="183">
        <v>44866</v>
      </c>
      <c r="B4" s="182">
        <v>189.56993333333332</v>
      </c>
      <c r="C4" s="182">
        <v>4.6626333459613321</v>
      </c>
    </row>
    <row r="5" spans="1:3">
      <c r="A5" s="183">
        <v>44896</v>
      </c>
      <c r="B5" s="182">
        <v>187.4187</v>
      </c>
      <c r="C5" s="182">
        <v>3.7374537358732058</v>
      </c>
    </row>
    <row r="6" spans="1:3">
      <c r="A6" s="183">
        <v>44927</v>
      </c>
      <c r="B6" s="182">
        <v>191.14659999999998</v>
      </c>
      <c r="C6" s="182">
        <v>3.8024237578251481</v>
      </c>
    </row>
    <row r="7" spans="1:3">
      <c r="A7" s="183">
        <v>44958</v>
      </c>
      <c r="B7" s="182">
        <v>176.89983333333333</v>
      </c>
      <c r="C7" s="182">
        <v>3.5962438359481901</v>
      </c>
    </row>
    <row r="8" spans="1:3">
      <c r="A8" s="183">
        <v>44986</v>
      </c>
      <c r="B8" s="182">
        <v>197.96706666666668</v>
      </c>
      <c r="C8" s="182">
        <v>2.9373816439756091</v>
      </c>
    </row>
    <row r="9" spans="1:3">
      <c r="A9" s="183">
        <v>45017</v>
      </c>
      <c r="B9" s="182">
        <v>186.98689999999999</v>
      </c>
      <c r="C9" s="182">
        <v>1.989440208788126</v>
      </c>
    </row>
    <row r="10" spans="1:3">
      <c r="A10" s="184" t="s">
        <v>205</v>
      </c>
      <c r="B10" s="182">
        <v>189.3032</v>
      </c>
      <c r="C10" s="182">
        <v>1.650828400698886</v>
      </c>
    </row>
    <row r="11" spans="1:3">
      <c r="A11" s="183">
        <v>45078</v>
      </c>
      <c r="B11" s="182">
        <v>174.55053333333333</v>
      </c>
      <c r="C11" s="182">
        <v>2.0898327862454811</v>
      </c>
    </row>
    <row r="12" spans="1:3">
      <c r="A12" s="183">
        <v>45108</v>
      </c>
      <c r="B12" s="182">
        <v>184.83336666666668</v>
      </c>
      <c r="C12" s="182">
        <v>3.2957578500544891</v>
      </c>
    </row>
    <row r="13" spans="1:3">
      <c r="A13" s="183">
        <v>45139</v>
      </c>
      <c r="B13" s="182">
        <v>168.99566666666666</v>
      </c>
      <c r="C13" s="182">
        <v>4.1249815965180847</v>
      </c>
    </row>
    <row r="14" spans="1:3">
      <c r="A14" s="183">
        <v>45170</v>
      </c>
      <c r="B14" s="182">
        <v>174.76436666666669</v>
      </c>
      <c r="C14" s="182">
        <v>3.7796052406411591</v>
      </c>
    </row>
    <row r="15" spans="1:3">
      <c r="A15" s="183">
        <v>45200</v>
      </c>
      <c r="B15" s="182">
        <v>201.3895</v>
      </c>
      <c r="C15" s="182">
        <v>3.4239313335804038</v>
      </c>
    </row>
    <row r="16" spans="1:3">
      <c r="A16" s="183">
        <v>45231</v>
      </c>
      <c r="B16" s="182">
        <v>200.09026666666668</v>
      </c>
      <c r="C16" s="182">
        <v>3.2102133404266411</v>
      </c>
    </row>
    <row r="17" spans="1:3">
      <c r="A17" s="183">
        <v>45261</v>
      </c>
      <c r="B17" s="182">
        <v>204.28526666666667</v>
      </c>
      <c r="C17" s="182">
        <v>3.0262575903826008</v>
      </c>
    </row>
    <row r="18" spans="1:3">
      <c r="A18" s="183">
        <v>45292</v>
      </c>
      <c r="B18" s="182">
        <v>194.83156666666667</v>
      </c>
      <c r="C18" s="182">
        <v>2.010190499306697</v>
      </c>
    </row>
    <row r="19" spans="1:3">
      <c r="A19" s="183">
        <v>45323</v>
      </c>
      <c r="B19" s="182">
        <v>193.93246666666667</v>
      </c>
      <c r="C19" s="182">
        <v>2.0454857073441741</v>
      </c>
    </row>
    <row r="20" spans="1:3">
      <c r="A20" s="183">
        <v>45352</v>
      </c>
      <c r="B20" s="182">
        <v>203.7253</v>
      </c>
      <c r="C20" s="182">
        <v>1.773846011815911</v>
      </c>
    </row>
    <row r="21" spans="1:3">
      <c r="A21" s="183">
        <v>45383</v>
      </c>
      <c r="B21" s="182">
        <v>177.73503333333335</v>
      </c>
      <c r="C21" s="182">
        <v>1.7260370158964611</v>
      </c>
    </row>
    <row r="22" spans="1:3">
      <c r="A22" s="184" t="s">
        <v>206</v>
      </c>
      <c r="B22" s="182">
        <v>191.80506666666668</v>
      </c>
      <c r="C22" s="182">
        <v>1.5826436190752511</v>
      </c>
    </row>
    <row r="23" spans="1:3">
      <c r="A23" s="183">
        <v>45444</v>
      </c>
      <c r="B23" s="182">
        <v>183.68203333333332</v>
      </c>
      <c r="C23" s="182">
        <v>1.846728673509753</v>
      </c>
    </row>
    <row r="24" spans="1:3">
      <c r="A24" s="183">
        <v>45474</v>
      </c>
      <c r="B24" s="182">
        <v>193.27446666666668</v>
      </c>
      <c r="C24" s="182">
        <v>2.2379564580118072</v>
      </c>
    </row>
    <row r="25" spans="1:3">
      <c r="A25" s="183">
        <v>45505</v>
      </c>
      <c r="B25" s="182">
        <v>167.55493333333334</v>
      </c>
      <c r="C25" s="182">
        <v>2.73405996210596</v>
      </c>
    </row>
    <row r="26" spans="1:3">
      <c r="A26" s="183">
        <v>45536</v>
      </c>
      <c r="B26" s="182">
        <v>186.50316666666669</v>
      </c>
      <c r="C26" s="182">
        <v>2.9070501773428341</v>
      </c>
    </row>
    <row r="27" spans="1:3">
      <c r="A27" s="183">
        <v>45566</v>
      </c>
      <c r="B27" s="182">
        <v>215.78346666666667</v>
      </c>
      <c r="C27" s="182">
        <v>3.2048501395755959</v>
      </c>
    </row>
  </sheetData>
  <phoneticPr fontId="12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5E22-B335-41D0-A227-4E4FC3A1C27B}">
  <dimension ref="A1:K7"/>
  <sheetViews>
    <sheetView workbookViewId="0"/>
  </sheetViews>
  <sheetFormatPr defaultRowHeight="13.2"/>
  <cols>
    <col min="1" max="1" width="20.33203125" customWidth="1"/>
  </cols>
  <sheetData>
    <row r="1" spans="1:11" ht="13.8" thickBot="1">
      <c r="A1" s="181" t="s">
        <v>207</v>
      </c>
      <c r="B1" s="181" t="s">
        <v>115</v>
      </c>
      <c r="C1" s="181" t="s">
        <v>116</v>
      </c>
      <c r="D1" s="181" t="s">
        <v>117</v>
      </c>
      <c r="E1" s="181" t="s">
        <v>118</v>
      </c>
      <c r="F1" s="181" t="s">
        <v>119</v>
      </c>
      <c r="G1" s="181" t="s">
        <v>120</v>
      </c>
      <c r="H1" s="181" t="s">
        <v>121</v>
      </c>
      <c r="I1" s="181" t="s">
        <v>35</v>
      </c>
      <c r="J1" s="181" t="s">
        <v>53</v>
      </c>
      <c r="K1" s="181" t="s">
        <v>158</v>
      </c>
    </row>
    <row r="2" spans="1:11">
      <c r="A2" t="s">
        <v>177</v>
      </c>
      <c r="B2" s="157">
        <v>0</v>
      </c>
      <c r="C2" s="157">
        <v>142</v>
      </c>
      <c r="D2" s="157">
        <v>0</v>
      </c>
      <c r="E2" s="157">
        <v>0</v>
      </c>
      <c r="F2" s="157">
        <v>0</v>
      </c>
      <c r="G2" s="157">
        <v>33000</v>
      </c>
      <c r="H2" s="157">
        <v>59999</v>
      </c>
      <c r="I2" s="157">
        <v>0</v>
      </c>
      <c r="J2" s="157">
        <v>0</v>
      </c>
      <c r="K2" s="157">
        <v>81000</v>
      </c>
    </row>
    <row r="3" spans="1:11">
      <c r="A3" t="s">
        <v>178</v>
      </c>
      <c r="B3" s="157">
        <v>107358</v>
      </c>
      <c r="C3" s="157">
        <v>75413</v>
      </c>
      <c r="D3" s="157">
        <v>40072</v>
      </c>
      <c r="E3" s="157">
        <v>54436</v>
      </c>
      <c r="F3" s="157">
        <v>39140</v>
      </c>
      <c r="G3" s="157">
        <v>22210</v>
      </c>
      <c r="H3" s="157">
        <v>41820</v>
      </c>
      <c r="I3" s="157">
        <v>4133</v>
      </c>
      <c r="J3" s="157">
        <v>3353</v>
      </c>
      <c r="K3" s="157">
        <v>49099</v>
      </c>
    </row>
    <row r="4" spans="1:11">
      <c r="A4" t="s">
        <v>179</v>
      </c>
      <c r="B4" s="157">
        <v>20500</v>
      </c>
      <c r="C4" s="157">
        <v>57835</v>
      </c>
      <c r="D4" s="157">
        <v>11439</v>
      </c>
      <c r="E4" s="157">
        <v>43593</v>
      </c>
      <c r="F4" s="157">
        <v>32550</v>
      </c>
      <c r="G4" s="157">
        <v>13500</v>
      </c>
      <c r="H4" s="157">
        <v>8500</v>
      </c>
      <c r="I4" s="157">
        <v>0</v>
      </c>
      <c r="J4" s="157">
        <v>0</v>
      </c>
      <c r="K4" s="157">
        <v>45448</v>
      </c>
    </row>
    <row r="5" spans="1:11">
      <c r="A5" t="s">
        <v>180</v>
      </c>
      <c r="B5" s="157">
        <v>36316</v>
      </c>
      <c r="C5" s="157">
        <v>58093</v>
      </c>
      <c r="D5" s="157">
        <v>44573</v>
      </c>
      <c r="E5" s="157">
        <v>56772</v>
      </c>
      <c r="F5" s="157">
        <v>32716</v>
      </c>
      <c r="G5" s="157">
        <v>45462</v>
      </c>
      <c r="H5" s="157">
        <v>37800</v>
      </c>
      <c r="I5" s="157">
        <v>0</v>
      </c>
      <c r="J5" s="157">
        <v>0</v>
      </c>
      <c r="K5" s="157">
        <v>40675</v>
      </c>
    </row>
    <row r="6" spans="1:11">
      <c r="A6" t="s">
        <v>181</v>
      </c>
      <c r="B6" s="157">
        <v>12033</v>
      </c>
      <c r="C6" s="157">
        <v>20535</v>
      </c>
      <c r="D6" s="157">
        <v>76014</v>
      </c>
      <c r="E6" s="157">
        <v>104520</v>
      </c>
      <c r="F6" s="157">
        <v>107175</v>
      </c>
      <c r="G6" s="157">
        <v>143504</v>
      </c>
      <c r="H6" s="157">
        <v>31021</v>
      </c>
      <c r="I6" s="157">
        <v>64</v>
      </c>
      <c r="J6" s="157">
        <v>23</v>
      </c>
      <c r="K6" s="157">
        <v>38597</v>
      </c>
    </row>
    <row r="7" spans="1:11">
      <c r="A7" t="s">
        <v>184</v>
      </c>
      <c r="B7" s="157">
        <v>312104</v>
      </c>
      <c r="C7" s="157">
        <v>234938</v>
      </c>
      <c r="D7" s="157">
        <v>51185</v>
      </c>
      <c r="E7" s="157">
        <v>73109</v>
      </c>
      <c r="F7" s="157">
        <v>120697</v>
      </c>
      <c r="G7" s="157">
        <v>132260</v>
      </c>
      <c r="H7" s="157">
        <v>129275</v>
      </c>
      <c r="I7" s="157">
        <v>26492</v>
      </c>
      <c r="J7" s="157">
        <v>24698</v>
      </c>
      <c r="K7" s="157">
        <v>161537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3B73-9118-4D67-96D1-404E8E9CF6A8}">
  <dimension ref="A1:I62"/>
  <sheetViews>
    <sheetView zoomScale="90" zoomScaleNormal="90" workbookViewId="0"/>
  </sheetViews>
  <sheetFormatPr defaultColWidth="9.33203125" defaultRowHeight="13.8"/>
  <cols>
    <col min="1" max="1" width="29.33203125" style="129" customWidth="1"/>
    <col min="2" max="2" width="14.5546875" style="129" customWidth="1"/>
    <col min="3" max="7" width="13.109375" style="129" customWidth="1"/>
    <col min="8" max="8" width="11" style="129" bestFit="1" customWidth="1"/>
    <col min="9" max="16384" width="9.33203125" style="129"/>
  </cols>
  <sheetData>
    <row r="1" spans="1:9" ht="48" customHeight="1" thickBot="1">
      <c r="A1" s="189" t="s">
        <v>176</v>
      </c>
      <c r="B1" s="190" t="s">
        <v>170</v>
      </c>
      <c r="C1" s="190" t="s">
        <v>171</v>
      </c>
      <c r="D1" s="190" t="s">
        <v>172</v>
      </c>
      <c r="E1" s="190" t="s">
        <v>173</v>
      </c>
      <c r="F1" s="190" t="s">
        <v>174</v>
      </c>
      <c r="G1" s="190" t="s">
        <v>175</v>
      </c>
      <c r="H1" s="190" t="s">
        <v>29</v>
      </c>
    </row>
    <row r="2" spans="1:9">
      <c r="A2" s="130" t="s">
        <v>121</v>
      </c>
      <c r="B2" s="116">
        <v>10378.753712799993</v>
      </c>
      <c r="C2" s="116">
        <v>1186.341887999999</v>
      </c>
      <c r="D2" s="116">
        <v>3405.7064429999959</v>
      </c>
      <c r="E2" s="116">
        <v>1845.279999999997</v>
      </c>
      <c r="F2" s="116">
        <v>5268.4549999999954</v>
      </c>
      <c r="G2" s="116">
        <v>251.2625629999996</v>
      </c>
      <c r="H2" s="156">
        <f>SUM(B2:G2)</f>
        <v>22335.799606799981</v>
      </c>
    </row>
    <row r="3" spans="1:9">
      <c r="A3" s="130" t="s">
        <v>35</v>
      </c>
      <c r="B3" s="116">
        <v>12510.330252333199</v>
      </c>
      <c r="C3" s="116">
        <v>2914.3018766419996</v>
      </c>
      <c r="D3" s="116">
        <v>3893.8603241012979</v>
      </c>
      <c r="E3" s="116">
        <v>4584.2849999999989</v>
      </c>
      <c r="F3" s="116">
        <v>6990.0884248740967</v>
      </c>
      <c r="G3" s="116">
        <v>284.27608099999986</v>
      </c>
      <c r="H3" s="156">
        <f t="shared" ref="H3:H4" si="0">SUM(B3:G3)</f>
        <v>31177.141958950593</v>
      </c>
    </row>
    <row r="4" spans="1:9">
      <c r="A4" s="130" t="s">
        <v>53</v>
      </c>
      <c r="B4" s="116">
        <v>12988.940404823095</v>
      </c>
      <c r="C4" s="116">
        <v>4336.8975532588975</v>
      </c>
      <c r="D4" s="116">
        <v>4211.2297811424978</v>
      </c>
      <c r="E4" s="116">
        <v>6831.1626087262002</v>
      </c>
      <c r="F4" s="116">
        <v>8306.5905162145973</v>
      </c>
      <c r="G4" s="116">
        <v>415.23178499999977</v>
      </c>
      <c r="H4" s="156">
        <f t="shared" si="0"/>
        <v>37090.052649165285</v>
      </c>
      <c r="I4" s="156"/>
    </row>
    <row r="5" spans="1:9">
      <c r="A5" s="130"/>
      <c r="B5" s="116"/>
      <c r="C5" s="116"/>
      <c r="D5" s="116"/>
      <c r="E5" s="116"/>
      <c r="F5" s="116"/>
      <c r="G5" s="116"/>
    </row>
    <row r="6" spans="1:9" ht="14.4" thickBot="1">
      <c r="A6" s="191" t="s">
        <v>201</v>
      </c>
      <c r="B6" s="192" t="str">
        <f>B1</f>
        <v>Soybean oil</v>
      </c>
      <c r="C6" s="192" t="str">
        <f t="shared" ref="C6:G6" si="1">C1</f>
        <v>Canola oil</v>
      </c>
      <c r="D6" s="192" t="str">
        <f t="shared" si="1"/>
        <v>Corn oil</v>
      </c>
      <c r="E6" s="192" t="str">
        <f t="shared" si="1"/>
        <v>Tallow</v>
      </c>
      <c r="F6" s="192" t="str">
        <f t="shared" si="1"/>
        <v>Grease</v>
      </c>
      <c r="G6" s="192" t="str">
        <f t="shared" si="1"/>
        <v>Other fats</v>
      </c>
      <c r="H6" s="116"/>
    </row>
    <row r="7" spans="1:9">
      <c r="A7" s="130" t="s">
        <v>121</v>
      </c>
      <c r="B7" s="116">
        <f>B2/$H2*100</f>
        <v>46.466900202848585</v>
      </c>
      <c r="C7" s="116">
        <f t="shared" ref="C7:G7" si="2">C2/$H2*100</f>
        <v>5.3113920651348669</v>
      </c>
      <c r="D7" s="116">
        <f t="shared" si="2"/>
        <v>15.247748023147341</v>
      </c>
      <c r="E7" s="116">
        <f t="shared" si="2"/>
        <v>8.2615354385531568</v>
      </c>
      <c r="F7" s="116">
        <f t="shared" si="2"/>
        <v>23.587492244495468</v>
      </c>
      <c r="G7" s="116">
        <f t="shared" si="2"/>
        <v>1.1249320258205775</v>
      </c>
    </row>
    <row r="8" spans="1:9">
      <c r="A8" s="130" t="str">
        <f>A3</f>
        <v>2022/23</v>
      </c>
      <c r="B8" s="116">
        <f t="shared" ref="B8:G8" si="3">B3/$H3*100</f>
        <v>40.126610286487882</v>
      </c>
      <c r="C8" s="116">
        <f t="shared" si="3"/>
        <v>9.347559441077431</v>
      </c>
      <c r="D8" s="116">
        <f t="shared" si="3"/>
        <v>12.489471707278851</v>
      </c>
      <c r="E8" s="116">
        <f t="shared" si="3"/>
        <v>14.703993733729348</v>
      </c>
      <c r="F8" s="116">
        <f t="shared" si="3"/>
        <v>22.420555527756846</v>
      </c>
      <c r="G8" s="116">
        <f t="shared" si="3"/>
        <v>0.91180930366963131</v>
      </c>
    </row>
    <row r="9" spans="1:9">
      <c r="A9" s="130" t="str">
        <f>A4</f>
        <v>2023/24</v>
      </c>
      <c r="B9" s="116">
        <f t="shared" ref="B9:G9" si="4">B4/$H4*100</f>
        <v>35.020010695820389</v>
      </c>
      <c r="C9" s="116">
        <f t="shared" si="4"/>
        <v>11.692885945138984</v>
      </c>
      <c r="D9" s="116">
        <f t="shared" si="4"/>
        <v>11.354067951794271</v>
      </c>
      <c r="E9" s="116">
        <f t="shared" si="4"/>
        <v>18.417775443303221</v>
      </c>
      <c r="F9" s="116">
        <f t="shared" si="4"/>
        <v>22.395736654209191</v>
      </c>
      <c r="G9" s="116">
        <f t="shared" si="4"/>
        <v>1.1195233097339501</v>
      </c>
    </row>
    <row r="10" spans="1:9">
      <c r="A10" s="130"/>
      <c r="B10" s="143"/>
      <c r="C10" s="143"/>
      <c r="D10" s="143"/>
      <c r="E10" s="143"/>
      <c r="F10" s="143"/>
      <c r="G10" s="143"/>
    </row>
    <row r="11" spans="1:9">
      <c r="A11" s="130"/>
      <c r="B11" s="143"/>
      <c r="C11" s="143"/>
      <c r="D11" s="143"/>
      <c r="E11" s="143"/>
      <c r="F11" s="143"/>
      <c r="G11" s="143"/>
    </row>
    <row r="12" spans="1:9">
      <c r="A12" s="130"/>
      <c r="B12" s="143"/>
      <c r="C12" s="143"/>
      <c r="D12" s="143"/>
      <c r="E12" s="143"/>
      <c r="F12" s="143"/>
      <c r="G12" s="143"/>
    </row>
    <row r="13" spans="1:9">
      <c r="A13" s="130"/>
      <c r="B13" s="143"/>
      <c r="C13" s="143"/>
      <c r="D13" s="143"/>
      <c r="E13" s="143"/>
      <c r="F13" s="143"/>
      <c r="G13" s="143"/>
    </row>
    <row r="14" spans="1:9">
      <c r="A14" s="130"/>
      <c r="B14" s="143"/>
      <c r="C14" s="143"/>
      <c r="D14" s="143"/>
      <c r="E14" s="143"/>
      <c r="F14" s="143"/>
      <c r="G14" s="143"/>
    </row>
    <row r="15" spans="1:9">
      <c r="A15" s="130"/>
      <c r="B15" s="143"/>
      <c r="C15" s="143"/>
      <c r="D15" s="143"/>
      <c r="E15" s="143"/>
      <c r="F15" s="143"/>
      <c r="G15" s="143"/>
    </row>
    <row r="16" spans="1:9">
      <c r="A16" s="130"/>
      <c r="B16" s="143"/>
      <c r="C16" s="143"/>
      <c r="D16" s="143"/>
      <c r="E16" s="143"/>
      <c r="F16" s="143"/>
      <c r="G16" s="143"/>
    </row>
    <row r="17" spans="1:7">
      <c r="A17" s="130"/>
      <c r="B17" s="143"/>
      <c r="C17" s="143"/>
      <c r="D17" s="143"/>
      <c r="E17" s="143"/>
      <c r="F17" s="143"/>
      <c r="G17" s="143"/>
    </row>
    <row r="18" spans="1:7">
      <c r="A18" s="130"/>
      <c r="B18" s="143"/>
      <c r="C18" s="143"/>
      <c r="D18" s="143"/>
      <c r="E18" s="143"/>
      <c r="F18" s="143"/>
      <c r="G18" s="143"/>
    </row>
    <row r="19" spans="1:7">
      <c r="A19" s="130"/>
      <c r="B19" s="143"/>
      <c r="C19" s="143"/>
      <c r="D19" s="143"/>
      <c r="E19" s="143"/>
      <c r="F19" s="143"/>
      <c r="G19" s="143"/>
    </row>
    <row r="20" spans="1:7">
      <c r="A20" s="130"/>
      <c r="B20" s="143"/>
      <c r="C20" s="143"/>
      <c r="D20" s="143"/>
      <c r="E20" s="143"/>
      <c r="F20" s="143"/>
      <c r="G20" s="143"/>
    </row>
    <row r="21" spans="1:7">
      <c r="A21" s="130"/>
      <c r="B21" s="143"/>
      <c r="C21" s="143"/>
      <c r="D21" s="143"/>
      <c r="E21" s="143"/>
      <c r="F21" s="143"/>
      <c r="G21" s="143"/>
    </row>
    <row r="22" spans="1:7">
      <c r="A22" s="130"/>
      <c r="B22" s="143"/>
      <c r="C22" s="143"/>
      <c r="D22" s="143"/>
      <c r="E22" s="143"/>
      <c r="F22" s="143"/>
      <c r="G22" s="143"/>
    </row>
    <row r="23" spans="1:7">
      <c r="A23" s="130"/>
      <c r="B23" s="143"/>
      <c r="C23" s="143"/>
      <c r="D23" s="143"/>
      <c r="E23" s="143"/>
      <c r="F23" s="143"/>
      <c r="G23" s="143"/>
    </row>
    <row r="24" spans="1:7">
      <c r="A24" s="130"/>
      <c r="B24" s="143"/>
      <c r="C24" s="143"/>
      <c r="D24" s="143"/>
      <c r="E24" s="143"/>
      <c r="F24" s="143"/>
      <c r="G24" s="143"/>
    </row>
    <row r="25" spans="1:7">
      <c r="A25" s="130"/>
      <c r="B25" s="143"/>
      <c r="C25" s="143"/>
      <c r="D25" s="143"/>
      <c r="E25" s="143"/>
      <c r="F25" s="143"/>
      <c r="G25" s="143"/>
    </row>
    <row r="26" spans="1:7">
      <c r="A26" s="130"/>
      <c r="B26" s="143"/>
      <c r="C26" s="143"/>
      <c r="D26" s="143"/>
      <c r="E26" s="143"/>
      <c r="F26" s="143"/>
      <c r="G26" s="143"/>
    </row>
    <row r="27" spans="1:7">
      <c r="A27" s="130"/>
      <c r="B27" s="130"/>
      <c r="C27" s="130"/>
      <c r="D27" s="130"/>
      <c r="E27" s="130"/>
      <c r="F27" s="130"/>
      <c r="G27" s="130"/>
    </row>
    <row r="28" spans="1:7">
      <c r="A28" s="130"/>
      <c r="B28" s="130"/>
      <c r="C28" s="130"/>
      <c r="D28" s="130"/>
      <c r="E28" s="130"/>
      <c r="F28" s="130"/>
      <c r="G28" s="130"/>
    </row>
    <row r="29" spans="1:7">
      <c r="A29" s="130"/>
      <c r="B29" s="130"/>
      <c r="C29" s="130"/>
      <c r="D29" s="130"/>
      <c r="E29" s="130"/>
      <c r="F29" s="130"/>
      <c r="G29" s="130"/>
    </row>
    <row r="30" spans="1:7">
      <c r="A30" s="130"/>
      <c r="B30" s="130"/>
      <c r="C30" s="130"/>
      <c r="D30" s="130"/>
      <c r="E30" s="130"/>
      <c r="F30" s="130"/>
      <c r="G30" s="130"/>
    </row>
    <row r="31" spans="1:7">
      <c r="A31" s="130"/>
      <c r="B31" s="130"/>
      <c r="C31" s="130"/>
      <c r="D31" s="130"/>
      <c r="E31" s="130"/>
      <c r="F31" s="130"/>
      <c r="G31" s="130"/>
    </row>
    <row r="32" spans="1:7">
      <c r="A32" s="130"/>
      <c r="B32" s="130"/>
      <c r="C32" s="130"/>
      <c r="D32" s="130"/>
      <c r="E32" s="130"/>
      <c r="F32" s="130"/>
      <c r="G32" s="130"/>
    </row>
    <row r="33" spans="1:7">
      <c r="A33" s="130"/>
      <c r="B33" s="130"/>
      <c r="C33" s="130"/>
      <c r="D33" s="130"/>
      <c r="E33" s="130"/>
      <c r="F33" s="130"/>
      <c r="G33" s="130"/>
    </row>
    <row r="34" spans="1:7">
      <c r="A34" s="130"/>
      <c r="B34" s="130"/>
      <c r="C34" s="130"/>
      <c r="D34" s="130"/>
      <c r="E34" s="130"/>
      <c r="F34" s="130"/>
      <c r="G34" s="130"/>
    </row>
    <row r="35" spans="1:7">
      <c r="A35" s="130"/>
      <c r="B35" s="130"/>
      <c r="C35" s="130"/>
      <c r="D35" s="130"/>
      <c r="E35" s="130"/>
      <c r="F35" s="130"/>
      <c r="G35" s="130"/>
    </row>
    <row r="36" spans="1:7">
      <c r="A36" s="130"/>
      <c r="B36" s="130"/>
      <c r="C36" s="130"/>
      <c r="D36" s="130"/>
      <c r="E36" s="130"/>
      <c r="F36" s="130"/>
      <c r="G36" s="130"/>
    </row>
    <row r="37" spans="1:7">
      <c r="A37" s="130"/>
      <c r="B37" s="130"/>
      <c r="C37" s="130"/>
      <c r="D37" s="130"/>
      <c r="E37" s="130"/>
      <c r="F37" s="130"/>
      <c r="G37" s="130"/>
    </row>
    <row r="38" spans="1:7">
      <c r="A38" s="130"/>
      <c r="B38" s="130"/>
      <c r="C38" s="130"/>
      <c r="D38" s="130"/>
      <c r="E38" s="130"/>
      <c r="F38" s="130"/>
      <c r="G38" s="130"/>
    </row>
    <row r="39" spans="1:7">
      <c r="A39" s="130"/>
      <c r="B39" s="130"/>
      <c r="C39" s="130"/>
      <c r="D39" s="130"/>
      <c r="E39" s="130"/>
      <c r="F39" s="130"/>
      <c r="G39" s="130"/>
    </row>
    <row r="40" spans="1:7">
      <c r="A40" s="130"/>
      <c r="B40" s="130"/>
      <c r="C40" s="130"/>
      <c r="D40" s="130"/>
      <c r="E40" s="130"/>
      <c r="F40" s="130"/>
      <c r="G40" s="130"/>
    </row>
    <row r="41" spans="1:7">
      <c r="A41" s="130"/>
      <c r="B41" s="130"/>
      <c r="C41" s="130"/>
      <c r="D41" s="130"/>
      <c r="E41" s="130"/>
      <c r="F41" s="130"/>
      <c r="G41" s="130"/>
    </row>
    <row r="42" spans="1:7">
      <c r="A42" s="130"/>
      <c r="B42" s="130"/>
      <c r="C42" s="130"/>
      <c r="D42" s="130"/>
      <c r="E42" s="130"/>
      <c r="F42" s="130"/>
      <c r="G42" s="130"/>
    </row>
    <row r="43" spans="1:7">
      <c r="A43" s="130"/>
      <c r="B43" s="130"/>
      <c r="C43" s="130"/>
      <c r="D43" s="130"/>
      <c r="E43" s="130"/>
      <c r="F43" s="130"/>
      <c r="G43" s="130"/>
    </row>
    <row r="44" spans="1:7">
      <c r="A44" s="130"/>
      <c r="B44" s="130"/>
      <c r="C44" s="130"/>
      <c r="D44" s="130"/>
      <c r="E44" s="130"/>
      <c r="F44" s="130"/>
      <c r="G44" s="130"/>
    </row>
    <row r="45" spans="1:7">
      <c r="A45" s="130"/>
      <c r="B45" s="130"/>
      <c r="C45" s="130"/>
      <c r="D45" s="130"/>
      <c r="E45" s="130"/>
      <c r="F45" s="130"/>
      <c r="G45" s="130"/>
    </row>
    <row r="46" spans="1:7">
      <c r="A46" s="130"/>
      <c r="B46" s="130"/>
      <c r="C46" s="130"/>
      <c r="D46" s="130"/>
      <c r="E46" s="130"/>
      <c r="F46" s="130"/>
      <c r="G46" s="130"/>
    </row>
    <row r="47" spans="1:7">
      <c r="A47" s="130"/>
      <c r="B47" s="130"/>
      <c r="C47" s="130"/>
      <c r="D47" s="130"/>
      <c r="E47" s="130"/>
      <c r="F47" s="130"/>
      <c r="G47" s="130"/>
    </row>
    <row r="48" spans="1:7">
      <c r="A48" s="130"/>
      <c r="B48" s="130"/>
      <c r="C48" s="130"/>
      <c r="D48" s="130"/>
      <c r="E48" s="130"/>
      <c r="F48" s="130"/>
      <c r="G48" s="130"/>
    </row>
    <row r="49" spans="1:7">
      <c r="A49" s="130"/>
      <c r="B49" s="130"/>
      <c r="C49" s="130"/>
      <c r="D49" s="130"/>
      <c r="E49" s="130"/>
      <c r="F49" s="130"/>
      <c r="G49" s="130"/>
    </row>
    <row r="50" spans="1:7">
      <c r="A50" s="130"/>
      <c r="B50" s="130"/>
      <c r="C50" s="130"/>
      <c r="D50" s="130"/>
      <c r="E50" s="130"/>
      <c r="F50" s="130"/>
      <c r="G50" s="130"/>
    </row>
    <row r="51" spans="1:7">
      <c r="A51" s="130"/>
      <c r="B51" s="130"/>
      <c r="C51" s="130"/>
      <c r="D51" s="130"/>
      <c r="E51" s="130"/>
      <c r="F51" s="130"/>
      <c r="G51" s="130"/>
    </row>
    <row r="52" spans="1:7">
      <c r="A52" s="130"/>
      <c r="B52" s="130"/>
      <c r="C52" s="130"/>
      <c r="D52" s="130"/>
      <c r="E52" s="130"/>
      <c r="F52" s="130"/>
      <c r="G52" s="130"/>
    </row>
    <row r="53" spans="1:7">
      <c r="A53" s="130"/>
      <c r="B53" s="130"/>
      <c r="C53" s="130"/>
      <c r="D53" s="130"/>
      <c r="E53" s="130"/>
      <c r="F53" s="130"/>
      <c r="G53" s="130"/>
    </row>
    <row r="54" spans="1:7">
      <c r="A54" s="130"/>
      <c r="B54" s="130"/>
      <c r="C54" s="130"/>
      <c r="D54" s="130"/>
      <c r="E54" s="130"/>
      <c r="F54" s="130"/>
      <c r="G54" s="130"/>
    </row>
    <row r="55" spans="1:7">
      <c r="A55" s="130"/>
      <c r="B55" s="130"/>
      <c r="C55" s="130"/>
      <c r="D55" s="130"/>
      <c r="E55" s="130"/>
      <c r="F55" s="130"/>
      <c r="G55" s="130"/>
    </row>
    <row r="56" spans="1:7">
      <c r="A56" s="130"/>
      <c r="B56" s="130"/>
      <c r="C56" s="130"/>
      <c r="D56" s="130"/>
      <c r="E56" s="130"/>
      <c r="F56" s="130"/>
      <c r="G56" s="130"/>
    </row>
    <row r="57" spans="1:7">
      <c r="A57" s="130"/>
      <c r="B57" s="130"/>
      <c r="C57" s="130"/>
      <c r="D57" s="130"/>
      <c r="E57" s="130"/>
      <c r="F57" s="130"/>
      <c r="G57" s="130"/>
    </row>
    <row r="58" spans="1:7">
      <c r="A58" s="130"/>
      <c r="B58" s="130"/>
      <c r="C58" s="130"/>
      <c r="D58" s="130"/>
      <c r="E58" s="130"/>
      <c r="F58" s="130"/>
      <c r="G58" s="130"/>
    </row>
    <row r="59" spans="1:7">
      <c r="A59" s="130"/>
      <c r="B59" s="130"/>
      <c r="C59" s="130"/>
      <c r="D59" s="130"/>
      <c r="E59" s="130"/>
      <c r="F59" s="130"/>
      <c r="G59" s="130"/>
    </row>
    <row r="60" spans="1:7">
      <c r="A60" s="130"/>
      <c r="B60" s="130"/>
      <c r="C60" s="130"/>
      <c r="D60" s="130"/>
      <c r="E60" s="130"/>
      <c r="F60" s="130"/>
      <c r="G60" s="130"/>
    </row>
    <row r="61" spans="1:7">
      <c r="A61" s="130"/>
      <c r="B61" s="130"/>
      <c r="C61" s="130"/>
      <c r="D61" s="130"/>
      <c r="E61" s="130"/>
      <c r="F61" s="130"/>
      <c r="G61" s="130"/>
    </row>
    <row r="62" spans="1:7">
      <c r="A62" s="130"/>
      <c r="B62" s="130"/>
      <c r="C62" s="130"/>
      <c r="D62" s="130"/>
      <c r="E62" s="130"/>
      <c r="F62" s="130"/>
      <c r="G62" s="1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78FE-4121-4989-956A-20B1615403C8}">
  <dimension ref="A1:E84"/>
  <sheetViews>
    <sheetView zoomScale="90" zoomScaleNormal="90" workbookViewId="0">
      <selection activeCell="E20" sqref="E20"/>
    </sheetView>
  </sheetViews>
  <sheetFormatPr defaultColWidth="9.109375" defaultRowHeight="13.2"/>
  <cols>
    <col min="1" max="1" width="13.44140625" style="164" bestFit="1" customWidth="1"/>
    <col min="2" max="2" width="11" style="160" customWidth="1"/>
    <col min="3" max="3" width="10.33203125" style="160" bestFit="1" customWidth="1"/>
    <col min="4" max="4" width="9" style="160" bestFit="1" customWidth="1"/>
    <col min="5" max="5" width="14.5546875" style="160" customWidth="1"/>
    <col min="6" max="16384" width="9.109375" style="160"/>
  </cols>
  <sheetData>
    <row r="1" spans="1:5" ht="39.6">
      <c r="A1" s="161" t="s">
        <v>186</v>
      </c>
      <c r="B1" s="161" t="s">
        <v>187</v>
      </c>
      <c r="C1" s="161" t="s">
        <v>188</v>
      </c>
      <c r="D1" s="161" t="s">
        <v>189</v>
      </c>
      <c r="E1" s="161" t="s">
        <v>190</v>
      </c>
    </row>
    <row r="2" spans="1:5">
      <c r="A2" s="162" t="s">
        <v>191</v>
      </c>
      <c r="B2" s="163">
        <v>10.4</v>
      </c>
      <c r="C2" s="163">
        <v>4.2489999999999997</v>
      </c>
      <c r="D2" s="163">
        <v>4.3620000000000001</v>
      </c>
      <c r="E2" s="163">
        <v>2.6160000000000001</v>
      </c>
    </row>
    <row r="3" spans="1:5">
      <c r="A3" s="162" t="s">
        <v>192</v>
      </c>
      <c r="B3" s="163">
        <v>12.987</v>
      </c>
      <c r="C3" s="163">
        <v>3.395</v>
      </c>
      <c r="D3" s="163">
        <v>4.5149999999999997</v>
      </c>
      <c r="E3" s="163">
        <v>2.6059999999999999</v>
      </c>
    </row>
    <row r="4" spans="1:5">
      <c r="A4" s="162" t="s">
        <v>193</v>
      </c>
      <c r="B4" s="163">
        <v>14.989000000000001</v>
      </c>
      <c r="C4" s="163">
        <v>2.9630000000000001</v>
      </c>
      <c r="D4" s="163">
        <v>4.8099999999999996</v>
      </c>
      <c r="E4" s="163">
        <v>2.4430000000000001</v>
      </c>
    </row>
    <row r="5" spans="1:5">
      <c r="A5" s="162" t="s">
        <v>194</v>
      </c>
      <c r="B5" s="163">
        <v>16.021000000000001</v>
      </c>
      <c r="C5" s="163">
        <v>2.9119999999999999</v>
      </c>
      <c r="D5" s="163">
        <v>5.6779999999999999</v>
      </c>
      <c r="E5" s="163">
        <v>3.012</v>
      </c>
    </row>
    <row r="6" spans="1:5">
      <c r="A6" s="162" t="s">
        <v>195</v>
      </c>
      <c r="B6" s="163">
        <v>15.225</v>
      </c>
      <c r="C6" s="163">
        <v>3.6619999999999999</v>
      </c>
      <c r="D6" s="163">
        <v>5.915</v>
      </c>
      <c r="E6" s="163">
        <v>2.044</v>
      </c>
    </row>
    <row r="7" spans="1:5">
      <c r="A7" s="162" t="s">
        <v>196</v>
      </c>
      <c r="B7" s="163">
        <v>16.670999999999999</v>
      </c>
      <c r="C7" s="163">
        <v>2.5870000000000002</v>
      </c>
      <c r="D7" s="163">
        <v>5.1050000000000004</v>
      </c>
      <c r="E7" s="163">
        <v>2.645</v>
      </c>
    </row>
    <row r="8" spans="1:5">
      <c r="A8" s="162" t="s">
        <v>197</v>
      </c>
      <c r="B8" s="163">
        <v>16.626999999999999</v>
      </c>
      <c r="C8" s="163">
        <v>3.1110000000000002</v>
      </c>
      <c r="D8" s="163">
        <v>5.0259999999999998</v>
      </c>
      <c r="E8" s="163">
        <v>3.1070000000000002</v>
      </c>
    </row>
    <row r="9" spans="1:5">
      <c r="A9" s="162" t="s">
        <v>198</v>
      </c>
      <c r="B9" s="163">
        <v>15.923</v>
      </c>
      <c r="C9" s="163">
        <v>3.1720000000000002</v>
      </c>
      <c r="D9" s="163">
        <v>5.3</v>
      </c>
      <c r="E9" s="163">
        <v>2.9489999999999998</v>
      </c>
    </row>
    <row r="10" spans="1:5">
      <c r="A10" s="162" t="s">
        <v>199</v>
      </c>
      <c r="B10" s="163">
        <v>15.75</v>
      </c>
      <c r="C10" s="163">
        <v>2.7850000000000001</v>
      </c>
      <c r="D10" s="163">
        <v>4.97</v>
      </c>
      <c r="E10" s="163">
        <v>2.09</v>
      </c>
    </row>
    <row r="11" spans="1:5">
      <c r="A11" s="162" t="s">
        <v>200</v>
      </c>
      <c r="B11" s="163">
        <v>15.227</v>
      </c>
      <c r="C11" s="163">
        <v>2.6779999999999999</v>
      </c>
      <c r="D11" s="163">
        <v>5.0259999999999998</v>
      </c>
      <c r="E11" s="163">
        <v>2.2229999999999999</v>
      </c>
    </row>
    <row r="12" spans="1:5">
      <c r="A12" s="162"/>
      <c r="B12" s="163"/>
      <c r="C12" s="163"/>
      <c r="D12" s="163"/>
      <c r="E12" s="163"/>
    </row>
    <row r="13" spans="1:5">
      <c r="B13" s="163"/>
      <c r="C13" s="165"/>
    </row>
    <row r="14" spans="1:5">
      <c r="B14" s="165"/>
      <c r="C14" s="165"/>
    </row>
    <row r="15" spans="1:5">
      <c r="B15" s="165"/>
      <c r="C15" s="165"/>
    </row>
    <row r="16" spans="1:5">
      <c r="B16" s="165"/>
      <c r="C16" s="165"/>
    </row>
    <row r="17" spans="2:3">
      <c r="B17" s="165"/>
      <c r="C17" s="165"/>
    </row>
    <row r="18" spans="2:3">
      <c r="B18" s="165"/>
      <c r="C18" s="165"/>
    </row>
    <row r="19" spans="2:3">
      <c r="B19" s="165"/>
      <c r="C19" s="165"/>
    </row>
    <row r="20" spans="2:3">
      <c r="B20" s="165"/>
      <c r="C20" s="165"/>
    </row>
    <row r="21" spans="2:3">
      <c r="B21" s="165"/>
      <c r="C21" s="165"/>
    </row>
    <row r="22" spans="2:3">
      <c r="B22" s="165"/>
      <c r="C22" s="165"/>
    </row>
    <row r="23" spans="2:3">
      <c r="B23" s="165"/>
      <c r="C23" s="165"/>
    </row>
    <row r="24" spans="2:3">
      <c r="B24" s="165"/>
      <c r="C24" s="165"/>
    </row>
    <row r="25" spans="2:3">
      <c r="B25" s="165"/>
      <c r="C25" s="165"/>
    </row>
    <row r="26" spans="2:3">
      <c r="B26" s="165"/>
      <c r="C26" s="165"/>
    </row>
    <row r="27" spans="2:3">
      <c r="B27" s="165"/>
      <c r="C27" s="165"/>
    </row>
    <row r="28" spans="2:3">
      <c r="B28" s="165"/>
      <c r="C28" s="165"/>
    </row>
    <row r="29" spans="2:3">
      <c r="B29" s="165"/>
      <c r="C29" s="165"/>
    </row>
    <row r="30" spans="2:3">
      <c r="B30" s="165"/>
      <c r="C30" s="165"/>
    </row>
    <row r="31" spans="2:3">
      <c r="B31" s="165"/>
      <c r="C31" s="165"/>
    </row>
    <row r="32" spans="2:3">
      <c r="B32" s="165"/>
      <c r="C32" s="165"/>
    </row>
    <row r="33" spans="2:3">
      <c r="B33" s="165"/>
      <c r="C33" s="165"/>
    </row>
    <row r="34" spans="2:3">
      <c r="B34" s="165"/>
      <c r="C34" s="165"/>
    </row>
    <row r="35" spans="2:3">
      <c r="B35" s="165"/>
      <c r="C35" s="165"/>
    </row>
    <row r="36" spans="2:3">
      <c r="B36" s="165"/>
      <c r="C36" s="165"/>
    </row>
    <row r="37" spans="2:3">
      <c r="B37" s="165"/>
      <c r="C37" s="165"/>
    </row>
    <row r="38" spans="2:3">
      <c r="B38" s="165"/>
      <c r="C38" s="165"/>
    </row>
    <row r="39" spans="2:3">
      <c r="B39" s="165"/>
      <c r="C39" s="165"/>
    </row>
    <row r="40" spans="2:3">
      <c r="B40" s="165"/>
      <c r="C40" s="165"/>
    </row>
    <row r="41" spans="2:3">
      <c r="B41" s="165"/>
      <c r="C41" s="165"/>
    </row>
    <row r="42" spans="2:3">
      <c r="B42" s="165"/>
      <c r="C42" s="165"/>
    </row>
    <row r="43" spans="2:3">
      <c r="B43" s="165"/>
      <c r="C43" s="165"/>
    </row>
    <row r="44" spans="2:3">
      <c r="B44" s="165"/>
      <c r="C44" s="165"/>
    </row>
    <row r="45" spans="2:3">
      <c r="B45" s="165"/>
      <c r="C45" s="165"/>
    </row>
    <row r="46" spans="2:3">
      <c r="B46" s="165"/>
      <c r="C46" s="165"/>
    </row>
    <row r="47" spans="2:3">
      <c r="B47" s="165"/>
      <c r="C47" s="165"/>
    </row>
    <row r="48" spans="2:3">
      <c r="B48" s="165"/>
      <c r="C48" s="165"/>
    </row>
    <row r="49" spans="2:3">
      <c r="B49" s="165"/>
      <c r="C49" s="165"/>
    </row>
    <row r="50" spans="2:3">
      <c r="B50" s="165"/>
      <c r="C50" s="165"/>
    </row>
    <row r="51" spans="2:3">
      <c r="B51" s="165"/>
      <c r="C51" s="165"/>
    </row>
    <row r="52" spans="2:3">
      <c r="B52" s="165"/>
      <c r="C52" s="165"/>
    </row>
    <row r="53" spans="2:3">
      <c r="B53" s="165"/>
      <c r="C53" s="165"/>
    </row>
    <row r="54" spans="2:3">
      <c r="B54" s="165"/>
      <c r="C54" s="165"/>
    </row>
    <row r="55" spans="2:3">
      <c r="B55" s="165"/>
      <c r="C55" s="165"/>
    </row>
    <row r="56" spans="2:3">
      <c r="B56" s="165"/>
      <c r="C56" s="165"/>
    </row>
    <row r="57" spans="2:3">
      <c r="B57" s="165"/>
      <c r="C57" s="165"/>
    </row>
    <row r="58" spans="2:3">
      <c r="B58" s="165"/>
      <c r="C58" s="165"/>
    </row>
    <row r="59" spans="2:3">
      <c r="B59" s="165"/>
      <c r="C59" s="165"/>
    </row>
    <row r="60" spans="2:3">
      <c r="B60" s="165"/>
      <c r="C60" s="165"/>
    </row>
    <row r="61" spans="2:3">
      <c r="B61" s="165"/>
      <c r="C61" s="165"/>
    </row>
    <row r="62" spans="2:3">
      <c r="B62" s="165"/>
      <c r="C62" s="165"/>
    </row>
    <row r="63" spans="2:3">
      <c r="B63" s="165"/>
      <c r="C63" s="165"/>
    </row>
    <row r="64" spans="2:3">
      <c r="B64" s="165"/>
      <c r="C64" s="165"/>
    </row>
    <row r="65" spans="2:3">
      <c r="B65" s="165"/>
      <c r="C65" s="165"/>
    </row>
    <row r="66" spans="2:3">
      <c r="B66" s="165"/>
      <c r="C66" s="165"/>
    </row>
    <row r="67" spans="2:3">
      <c r="B67" s="165"/>
      <c r="C67" s="165"/>
    </row>
    <row r="68" spans="2:3">
      <c r="B68" s="165"/>
      <c r="C68" s="165"/>
    </row>
    <row r="69" spans="2:3">
      <c r="B69" s="165"/>
      <c r="C69" s="165"/>
    </row>
    <row r="70" spans="2:3">
      <c r="B70" s="165"/>
      <c r="C70" s="165"/>
    </row>
    <row r="71" spans="2:3">
      <c r="B71" s="165"/>
      <c r="C71" s="165"/>
    </row>
    <row r="72" spans="2:3">
      <c r="B72" s="165"/>
      <c r="C72" s="165"/>
    </row>
    <row r="73" spans="2:3">
      <c r="B73" s="165"/>
      <c r="C73" s="165"/>
    </row>
    <row r="74" spans="2:3">
      <c r="B74" s="165"/>
      <c r="C74" s="165"/>
    </row>
    <row r="75" spans="2:3">
      <c r="B75" s="165"/>
      <c r="C75" s="165"/>
    </row>
    <row r="76" spans="2:3">
      <c r="B76" s="165"/>
      <c r="C76" s="165"/>
    </row>
    <row r="77" spans="2:3">
      <c r="B77" s="165"/>
      <c r="C77" s="165"/>
    </row>
    <row r="78" spans="2:3">
      <c r="B78" s="165"/>
      <c r="C78" s="165"/>
    </row>
    <row r="79" spans="2:3">
      <c r="B79" s="165"/>
      <c r="C79" s="165"/>
    </row>
    <row r="80" spans="2:3">
      <c r="B80" s="165"/>
      <c r="C80" s="165"/>
    </row>
    <row r="81" spans="2:3">
      <c r="B81" s="165"/>
      <c r="C81" s="165"/>
    </row>
    <row r="82" spans="2:3">
      <c r="B82" s="165"/>
      <c r="C82" s="165"/>
    </row>
    <row r="83" spans="2:3">
      <c r="B83" s="165"/>
      <c r="C83" s="165"/>
    </row>
    <row r="84" spans="2:3">
      <c r="B84" s="165"/>
      <c r="C84" s="16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EB12-BC4C-4134-8AFB-A172A969BF37}">
  <dimension ref="A1:G91"/>
  <sheetViews>
    <sheetView zoomScale="90" zoomScaleNormal="90" workbookViewId="0">
      <pane xSplit="1" ySplit="1" topLeftCell="B73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15.6640625" style="158" bestFit="1" customWidth="1"/>
    <col min="2" max="2" width="15.6640625" style="158" customWidth="1"/>
    <col min="3" max="3" width="12.88671875" style="158" customWidth="1"/>
    <col min="4" max="4" width="16.44140625" style="159" customWidth="1"/>
    <col min="5" max="16384" width="8.88671875" style="158"/>
  </cols>
  <sheetData>
    <row r="1" spans="1:7" ht="40.200000000000003" thickBot="1">
      <c r="A1" s="193" t="s">
        <v>185</v>
      </c>
      <c r="B1" s="193" t="s">
        <v>204</v>
      </c>
      <c r="C1" s="193" t="s">
        <v>202</v>
      </c>
      <c r="D1" s="194" t="s">
        <v>203</v>
      </c>
    </row>
    <row r="2" spans="1:7">
      <c r="A2" s="195">
        <v>43040</v>
      </c>
      <c r="B2" s="160">
        <v>670</v>
      </c>
      <c r="C2" s="159">
        <v>810</v>
      </c>
      <c r="D2" s="159">
        <v>786</v>
      </c>
      <c r="E2" s="159"/>
      <c r="G2" s="159"/>
    </row>
    <row r="3" spans="1:7">
      <c r="A3" s="195">
        <v>43070</v>
      </c>
      <c r="B3" s="160">
        <v>619</v>
      </c>
      <c r="C3" s="159">
        <v>778</v>
      </c>
      <c r="D3" s="159">
        <v>758</v>
      </c>
      <c r="E3" s="159"/>
      <c r="G3" s="159"/>
    </row>
    <row r="4" spans="1:7">
      <c r="A4" s="195">
        <v>43101</v>
      </c>
      <c r="B4" s="160">
        <v>650</v>
      </c>
      <c r="C4" s="159">
        <v>781</v>
      </c>
      <c r="D4" s="159">
        <v>768</v>
      </c>
      <c r="E4" s="159"/>
      <c r="G4" s="159"/>
    </row>
    <row r="5" spans="1:7">
      <c r="A5" s="195">
        <v>43132</v>
      </c>
      <c r="B5" s="160">
        <v>654</v>
      </c>
      <c r="C5" s="159">
        <v>766</v>
      </c>
      <c r="D5" s="159">
        <v>757</v>
      </c>
      <c r="E5" s="159"/>
      <c r="G5" s="159"/>
    </row>
    <row r="6" spans="1:7">
      <c r="A6" s="195">
        <v>43160</v>
      </c>
      <c r="B6" s="160">
        <v>658</v>
      </c>
      <c r="C6" s="159">
        <v>751</v>
      </c>
      <c r="D6" s="159">
        <v>748</v>
      </c>
      <c r="E6" s="159"/>
      <c r="G6" s="159"/>
    </row>
    <row r="7" spans="1:7">
      <c r="A7" s="195">
        <v>43191</v>
      </c>
      <c r="B7" s="160">
        <v>651</v>
      </c>
      <c r="C7" s="159">
        <v>757</v>
      </c>
      <c r="D7" s="159">
        <v>758</v>
      </c>
      <c r="E7" s="159"/>
      <c r="G7" s="159"/>
    </row>
    <row r="8" spans="1:7">
      <c r="A8" s="195">
        <v>43221</v>
      </c>
      <c r="B8" s="160">
        <v>639</v>
      </c>
      <c r="C8" s="159">
        <v>735</v>
      </c>
      <c r="D8" s="159">
        <v>716</v>
      </c>
      <c r="E8" s="159"/>
      <c r="G8" s="159"/>
    </row>
    <row r="9" spans="1:7">
      <c r="A9" s="195">
        <v>43252</v>
      </c>
      <c r="B9" s="160">
        <v>605</v>
      </c>
      <c r="C9" s="159">
        <v>702</v>
      </c>
      <c r="D9" s="159">
        <v>683</v>
      </c>
      <c r="E9" s="159"/>
      <c r="G9" s="159"/>
    </row>
    <row r="10" spans="1:7">
      <c r="A10" s="195">
        <v>43282</v>
      </c>
      <c r="B10" s="160">
        <v>570</v>
      </c>
      <c r="C10" s="159">
        <v>674</v>
      </c>
      <c r="D10" s="159">
        <v>663</v>
      </c>
      <c r="E10" s="159"/>
      <c r="G10" s="159"/>
    </row>
    <row r="11" spans="1:7">
      <c r="A11" s="195">
        <v>43313</v>
      </c>
      <c r="B11" s="160">
        <v>559</v>
      </c>
      <c r="C11" s="159">
        <v>675</v>
      </c>
      <c r="D11" s="159">
        <v>645</v>
      </c>
      <c r="E11" s="159"/>
      <c r="G11" s="159"/>
    </row>
    <row r="12" spans="1:7">
      <c r="A12" s="195">
        <v>43344</v>
      </c>
      <c r="B12" s="160">
        <v>552</v>
      </c>
      <c r="C12" s="159">
        <v>671</v>
      </c>
      <c r="D12" s="159">
        <v>645</v>
      </c>
      <c r="E12" s="159"/>
      <c r="G12" s="159"/>
    </row>
    <row r="13" spans="1:7">
      <c r="A13" s="195">
        <v>43374</v>
      </c>
      <c r="B13" s="160">
        <v>539</v>
      </c>
      <c r="C13" s="159">
        <v>691</v>
      </c>
      <c r="D13" s="159">
        <v>660</v>
      </c>
      <c r="E13" s="159"/>
      <c r="G13" s="159"/>
    </row>
    <row r="14" spans="1:7">
      <c r="A14" s="195">
        <v>43405</v>
      </c>
      <c r="B14" s="160">
        <v>492</v>
      </c>
      <c r="C14" s="159">
        <v>660</v>
      </c>
      <c r="D14" s="159">
        <v>635</v>
      </c>
      <c r="E14" s="159"/>
      <c r="G14" s="159"/>
    </row>
    <row r="15" spans="1:7">
      <c r="A15" s="195">
        <v>43435</v>
      </c>
      <c r="B15" s="160">
        <v>489</v>
      </c>
      <c r="C15" s="159">
        <v>674</v>
      </c>
      <c r="D15" s="159">
        <v>623</v>
      </c>
      <c r="E15" s="159"/>
      <c r="G15" s="159"/>
    </row>
    <row r="16" spans="1:7">
      <c r="A16" s="195">
        <v>43466</v>
      </c>
      <c r="B16" s="160">
        <v>538</v>
      </c>
      <c r="C16" s="159">
        <v>684</v>
      </c>
      <c r="D16" s="159">
        <v>654</v>
      </c>
      <c r="E16" s="159"/>
      <c r="G16" s="159"/>
    </row>
    <row r="17" spans="1:7">
      <c r="A17" s="195">
        <v>43497</v>
      </c>
      <c r="B17" s="160">
        <v>556</v>
      </c>
      <c r="C17" s="159">
        <v>710</v>
      </c>
      <c r="D17" s="159">
        <v>685</v>
      </c>
      <c r="E17" s="159"/>
      <c r="G17" s="159"/>
    </row>
    <row r="18" spans="1:7">
      <c r="A18" s="195">
        <v>43525</v>
      </c>
      <c r="B18" s="160">
        <v>523</v>
      </c>
      <c r="C18" s="159">
        <v>686</v>
      </c>
      <c r="D18" s="159">
        <v>644</v>
      </c>
      <c r="E18" s="159"/>
      <c r="G18" s="159"/>
    </row>
    <row r="19" spans="1:7">
      <c r="A19" s="195">
        <v>43556</v>
      </c>
      <c r="B19" s="160">
        <v>538</v>
      </c>
      <c r="C19" s="159">
        <v>665</v>
      </c>
      <c r="D19" s="159">
        <v>634</v>
      </c>
      <c r="E19" s="159"/>
      <c r="G19" s="159"/>
    </row>
    <row r="20" spans="1:7">
      <c r="A20" s="195">
        <v>43586</v>
      </c>
      <c r="B20" s="160">
        <v>511</v>
      </c>
      <c r="C20" s="159">
        <v>653</v>
      </c>
      <c r="D20" s="159">
        <v>639</v>
      </c>
      <c r="E20" s="159"/>
      <c r="G20" s="159"/>
    </row>
    <row r="21" spans="1:7">
      <c r="A21" s="195">
        <v>43617</v>
      </c>
      <c r="B21" s="160">
        <v>502</v>
      </c>
      <c r="C21" s="159">
        <v>667</v>
      </c>
      <c r="D21" s="159">
        <v>629</v>
      </c>
      <c r="E21" s="159"/>
      <c r="G21" s="159"/>
    </row>
    <row r="22" spans="1:7">
      <c r="A22" s="195">
        <v>43647</v>
      </c>
      <c r="B22" s="160">
        <v>494</v>
      </c>
      <c r="C22" s="159">
        <v>669</v>
      </c>
      <c r="D22" s="159">
        <v>640</v>
      </c>
      <c r="E22" s="159"/>
      <c r="G22" s="159"/>
    </row>
    <row r="23" spans="1:7">
      <c r="A23" s="195">
        <v>43678</v>
      </c>
      <c r="B23" s="160">
        <v>536</v>
      </c>
      <c r="C23" s="159">
        <v>694</v>
      </c>
      <c r="D23" s="159">
        <v>675</v>
      </c>
      <c r="E23" s="159"/>
      <c r="G23" s="159"/>
    </row>
    <row r="24" spans="1:7">
      <c r="A24" s="195">
        <v>43709</v>
      </c>
      <c r="B24" s="160">
        <v>532</v>
      </c>
      <c r="C24" s="159">
        <v>701</v>
      </c>
      <c r="D24" s="159">
        <v>672</v>
      </c>
      <c r="E24" s="159"/>
      <c r="G24" s="159"/>
    </row>
    <row r="25" spans="1:7">
      <c r="A25" s="195">
        <v>43739</v>
      </c>
      <c r="B25" s="160">
        <v>547</v>
      </c>
      <c r="C25" s="159">
        <v>720</v>
      </c>
      <c r="D25" s="159">
        <v>667</v>
      </c>
      <c r="E25" s="159"/>
      <c r="G25" s="159"/>
    </row>
    <row r="26" spans="1:7">
      <c r="A26" s="195">
        <v>43770</v>
      </c>
      <c r="B26" s="160">
        <v>641</v>
      </c>
      <c r="C26" s="159">
        <v>733</v>
      </c>
      <c r="D26" s="159">
        <v>699</v>
      </c>
      <c r="E26" s="159"/>
      <c r="G26" s="159"/>
    </row>
    <row r="27" spans="1:7">
      <c r="A27" s="195">
        <v>43800</v>
      </c>
      <c r="B27" s="160">
        <v>718</v>
      </c>
      <c r="C27" s="159">
        <v>781</v>
      </c>
      <c r="D27" s="159">
        <v>765</v>
      </c>
      <c r="E27" s="159"/>
      <c r="G27" s="159"/>
    </row>
    <row r="28" spans="1:7">
      <c r="A28" s="195">
        <v>43831</v>
      </c>
      <c r="B28" s="160">
        <v>761</v>
      </c>
      <c r="C28" s="159">
        <v>798</v>
      </c>
      <c r="D28" s="159">
        <v>795</v>
      </c>
      <c r="E28" s="159"/>
      <c r="G28" s="159"/>
    </row>
    <row r="29" spans="1:7">
      <c r="A29" s="195">
        <v>43862</v>
      </c>
      <c r="B29" s="160">
        <v>677</v>
      </c>
      <c r="C29" s="159">
        <v>730</v>
      </c>
      <c r="D29" s="159">
        <v>719</v>
      </c>
      <c r="E29" s="159"/>
      <c r="G29" s="159"/>
    </row>
    <row r="30" spans="1:7">
      <c r="A30" s="195">
        <v>43891</v>
      </c>
      <c r="B30" s="160">
        <v>589</v>
      </c>
      <c r="C30" s="159">
        <v>637</v>
      </c>
      <c r="D30" s="159">
        <v>614</v>
      </c>
      <c r="E30" s="159"/>
      <c r="G30" s="159"/>
    </row>
    <row r="31" spans="1:7">
      <c r="A31" s="195">
        <v>43922</v>
      </c>
      <c r="B31" s="160">
        <v>563</v>
      </c>
      <c r="C31" s="159">
        <v>619</v>
      </c>
      <c r="D31" s="159">
        <v>589</v>
      </c>
      <c r="E31" s="159"/>
      <c r="G31" s="159"/>
    </row>
    <row r="32" spans="1:7">
      <c r="A32" s="195">
        <v>43952</v>
      </c>
      <c r="B32" s="160">
        <v>529</v>
      </c>
      <c r="C32" s="159">
        <v>625</v>
      </c>
      <c r="D32" s="159">
        <v>595</v>
      </c>
      <c r="E32" s="159"/>
      <c r="G32" s="159"/>
    </row>
    <row r="33" spans="1:7">
      <c r="A33" s="195">
        <v>43983</v>
      </c>
      <c r="B33" s="160">
        <v>605</v>
      </c>
      <c r="C33" s="159">
        <v>667</v>
      </c>
      <c r="D33" s="159">
        <v>660</v>
      </c>
      <c r="E33" s="159"/>
      <c r="G33" s="159"/>
    </row>
    <row r="34" spans="1:7">
      <c r="A34" s="195">
        <v>44013</v>
      </c>
      <c r="B34" s="160">
        <v>643</v>
      </c>
      <c r="C34" s="159">
        <v>729</v>
      </c>
      <c r="D34" s="159">
        <v>714</v>
      </c>
      <c r="E34" s="159"/>
      <c r="G34" s="159"/>
    </row>
    <row r="35" spans="1:7">
      <c r="A35" s="195">
        <v>44044</v>
      </c>
      <c r="B35" s="160">
        <v>715</v>
      </c>
      <c r="C35" s="159">
        <v>800</v>
      </c>
      <c r="D35" s="159">
        <v>747</v>
      </c>
      <c r="E35" s="159"/>
      <c r="G35" s="166"/>
    </row>
    <row r="36" spans="1:7">
      <c r="A36" s="195">
        <v>44075</v>
      </c>
      <c r="B36" s="160">
        <v>746</v>
      </c>
      <c r="C36" s="159">
        <v>833</v>
      </c>
      <c r="D36" s="159">
        <v>801</v>
      </c>
      <c r="E36" s="159"/>
      <c r="G36" s="159"/>
    </row>
    <row r="37" spans="1:7">
      <c r="A37" s="195">
        <v>44105</v>
      </c>
      <c r="B37" s="160">
        <v>767</v>
      </c>
      <c r="C37" s="159">
        <v>844</v>
      </c>
      <c r="D37" s="159">
        <v>823</v>
      </c>
      <c r="E37" s="159"/>
      <c r="G37" s="159"/>
    </row>
    <row r="38" spans="1:7">
      <c r="A38" s="195">
        <v>44136</v>
      </c>
      <c r="B38" s="160">
        <v>878</v>
      </c>
      <c r="C38" s="159">
        <v>954</v>
      </c>
      <c r="D38" s="159">
        <v>947</v>
      </c>
      <c r="E38" s="159"/>
      <c r="G38" s="159"/>
    </row>
    <row r="39" spans="1:7">
      <c r="A39" s="195">
        <v>44166</v>
      </c>
      <c r="B39" s="160">
        <v>929</v>
      </c>
      <c r="C39" s="159">
        <v>1021</v>
      </c>
      <c r="D39" s="159">
        <v>1022</v>
      </c>
      <c r="E39" s="159"/>
      <c r="G39" s="159"/>
    </row>
    <row r="40" spans="1:7">
      <c r="A40" s="195">
        <v>44197</v>
      </c>
      <c r="B40" s="160">
        <v>980</v>
      </c>
      <c r="C40" s="159">
        <v>1084</v>
      </c>
      <c r="D40" s="159">
        <v>1042</v>
      </c>
      <c r="E40" s="159"/>
      <c r="G40" s="159"/>
    </row>
    <row r="41" spans="1:7">
      <c r="A41" s="195">
        <v>44228</v>
      </c>
      <c r="B41" s="160">
        <v>1017</v>
      </c>
      <c r="C41" s="159">
        <v>1131</v>
      </c>
      <c r="D41" s="159">
        <v>1070</v>
      </c>
      <c r="E41" s="159"/>
      <c r="G41" s="159"/>
    </row>
    <row r="42" spans="1:7">
      <c r="A42" s="195">
        <v>44256</v>
      </c>
      <c r="B42" s="160">
        <v>1036</v>
      </c>
      <c r="C42" s="159">
        <v>1287</v>
      </c>
      <c r="D42" s="159">
        <v>1209</v>
      </c>
      <c r="E42" s="159"/>
      <c r="G42" s="159"/>
    </row>
    <row r="43" spans="1:7">
      <c r="A43" s="195">
        <v>44287</v>
      </c>
      <c r="B43" s="160">
        <v>1075</v>
      </c>
      <c r="C43" s="159">
        <v>1430</v>
      </c>
      <c r="D43" s="159">
        <v>1220</v>
      </c>
      <c r="E43" s="159"/>
      <c r="G43" s="159"/>
    </row>
    <row r="44" spans="1:7">
      <c r="A44" s="195">
        <v>44317</v>
      </c>
      <c r="B44" s="160">
        <v>1149</v>
      </c>
      <c r="C44" s="159">
        <v>1583</v>
      </c>
      <c r="D44" s="159">
        <v>1348</v>
      </c>
      <c r="E44" s="159"/>
      <c r="G44" s="159"/>
    </row>
    <row r="45" spans="1:7">
      <c r="A45" s="195">
        <v>44348</v>
      </c>
      <c r="B45" s="160">
        <v>1015</v>
      </c>
      <c r="C45" s="159">
        <v>1456</v>
      </c>
      <c r="D45" s="159">
        <v>1190</v>
      </c>
      <c r="E45" s="159"/>
      <c r="G45" s="159"/>
    </row>
    <row r="46" spans="1:7">
      <c r="A46" s="195">
        <v>44378</v>
      </c>
      <c r="B46" s="160">
        <v>1072</v>
      </c>
      <c r="C46" s="159">
        <v>1408</v>
      </c>
      <c r="D46" s="159">
        <v>1241</v>
      </c>
      <c r="E46" s="159"/>
      <c r="G46" s="159"/>
    </row>
    <row r="47" spans="1:7">
      <c r="A47" s="195">
        <v>44409</v>
      </c>
      <c r="B47" s="160">
        <v>1151</v>
      </c>
      <c r="C47" s="159">
        <v>1388</v>
      </c>
      <c r="D47" s="159">
        <v>1301</v>
      </c>
      <c r="E47" s="159"/>
      <c r="G47" s="159"/>
    </row>
    <row r="48" spans="1:7">
      <c r="A48" s="195">
        <v>44440</v>
      </c>
      <c r="B48" s="160">
        <v>1187</v>
      </c>
      <c r="C48" s="159">
        <v>1345</v>
      </c>
      <c r="D48" s="159">
        <v>1305</v>
      </c>
      <c r="E48" s="159"/>
      <c r="G48" s="159"/>
    </row>
    <row r="49" spans="1:7">
      <c r="A49" s="195">
        <v>44470</v>
      </c>
      <c r="B49" s="160">
        <v>1318</v>
      </c>
      <c r="C49" s="159">
        <v>1423</v>
      </c>
      <c r="D49" s="159">
        <v>1392</v>
      </c>
      <c r="E49" s="159"/>
      <c r="G49" s="159"/>
    </row>
    <row r="50" spans="1:7">
      <c r="A50" s="195">
        <v>44501</v>
      </c>
      <c r="B50" s="160">
        <v>1338</v>
      </c>
      <c r="C50" s="159">
        <v>1390</v>
      </c>
      <c r="D50" s="159">
        <v>1389</v>
      </c>
      <c r="E50" s="159"/>
      <c r="G50" s="159"/>
    </row>
    <row r="51" spans="1:7">
      <c r="A51" s="195">
        <v>44531</v>
      </c>
      <c r="B51" s="160">
        <v>1259</v>
      </c>
      <c r="C51" s="159">
        <v>1349</v>
      </c>
      <c r="D51" s="159">
        <v>1352</v>
      </c>
      <c r="E51" s="159"/>
      <c r="G51" s="159"/>
    </row>
    <row r="52" spans="1:7">
      <c r="A52" s="195">
        <v>44562</v>
      </c>
      <c r="B52" s="160">
        <v>1358</v>
      </c>
      <c r="C52" s="159">
        <v>1428</v>
      </c>
      <c r="D52" s="159">
        <v>1374</v>
      </c>
      <c r="E52" s="159"/>
      <c r="G52" s="159"/>
    </row>
    <row r="53" spans="1:7">
      <c r="A53" s="195">
        <v>44593</v>
      </c>
      <c r="B53" s="160">
        <v>1540</v>
      </c>
      <c r="C53" s="159">
        <v>1557</v>
      </c>
      <c r="D53" s="159">
        <v>1531</v>
      </c>
      <c r="E53" s="159"/>
      <c r="G53" s="159"/>
    </row>
    <row r="54" spans="1:7">
      <c r="A54" s="195">
        <v>44621</v>
      </c>
      <c r="B54" s="160">
        <v>1776</v>
      </c>
      <c r="C54" s="159">
        <v>1774</v>
      </c>
      <c r="D54" s="159">
        <v>1746</v>
      </c>
      <c r="E54" s="159"/>
      <c r="G54" s="159"/>
    </row>
    <row r="55" spans="1:7">
      <c r="A55" s="195">
        <v>44652</v>
      </c>
      <c r="B55" s="160">
        <v>1702</v>
      </c>
      <c r="C55" s="158">
        <v>1846</v>
      </c>
      <c r="D55" s="159">
        <v>1836</v>
      </c>
      <c r="E55" s="159"/>
    </row>
    <row r="56" spans="1:7">
      <c r="A56" s="195">
        <v>44682</v>
      </c>
      <c r="B56" s="160">
        <v>1703</v>
      </c>
      <c r="C56" s="158">
        <v>1849</v>
      </c>
      <c r="D56" s="158">
        <v>1802</v>
      </c>
      <c r="E56" s="159"/>
    </row>
    <row r="57" spans="1:7">
      <c r="A57" s="195">
        <v>44713</v>
      </c>
      <c r="B57" s="160">
        <v>1473</v>
      </c>
      <c r="C57" s="158">
        <v>1792</v>
      </c>
      <c r="D57" s="159">
        <v>1594</v>
      </c>
      <c r="E57" s="159"/>
    </row>
    <row r="58" spans="1:7">
      <c r="A58" s="195">
        <v>44743</v>
      </c>
      <c r="B58" s="160">
        <v>1017</v>
      </c>
      <c r="C58" s="158">
        <v>1465</v>
      </c>
      <c r="D58" s="159">
        <v>1317</v>
      </c>
      <c r="E58" s="159"/>
    </row>
    <row r="59" spans="1:7">
      <c r="A59" s="195">
        <v>44774</v>
      </c>
      <c r="B59" s="160">
        <v>1016</v>
      </c>
      <c r="C59" s="158">
        <v>1599</v>
      </c>
      <c r="D59" s="159">
        <v>1370</v>
      </c>
      <c r="E59" s="159"/>
    </row>
    <row r="60" spans="1:7">
      <c r="A60" s="195">
        <v>44805</v>
      </c>
      <c r="B60" s="160">
        <v>901</v>
      </c>
      <c r="C60" s="158">
        <v>1585</v>
      </c>
      <c r="D60" s="159">
        <v>1191</v>
      </c>
      <c r="E60" s="159"/>
    </row>
    <row r="61" spans="1:7">
      <c r="A61" s="195">
        <v>44835</v>
      </c>
      <c r="B61" s="160">
        <v>901</v>
      </c>
      <c r="C61" s="158">
        <v>1623</v>
      </c>
      <c r="D61" s="159">
        <v>1290</v>
      </c>
      <c r="E61" s="159"/>
    </row>
    <row r="62" spans="1:7">
      <c r="A62" s="195">
        <v>44866</v>
      </c>
      <c r="B62" s="160">
        <v>940</v>
      </c>
      <c r="C62" s="158">
        <v>1766</v>
      </c>
      <c r="D62" s="159">
        <v>1375</v>
      </c>
      <c r="E62" s="159"/>
    </row>
    <row r="63" spans="1:7">
      <c r="A63" s="195">
        <v>44896</v>
      </c>
      <c r="B63" s="160">
        <v>953</v>
      </c>
      <c r="C63" s="158">
        <v>1525</v>
      </c>
      <c r="D63" s="159">
        <v>1240</v>
      </c>
      <c r="E63" s="159"/>
    </row>
    <row r="64" spans="1:7">
      <c r="A64" s="195">
        <v>44927</v>
      </c>
      <c r="B64" s="160">
        <v>943</v>
      </c>
      <c r="C64" s="158">
        <v>1486</v>
      </c>
      <c r="D64" s="159">
        <v>1181</v>
      </c>
      <c r="E64" s="159"/>
    </row>
    <row r="65" spans="1:5">
      <c r="A65" s="195">
        <v>44958</v>
      </c>
      <c r="B65" s="160">
        <v>959</v>
      </c>
      <c r="C65" s="158">
        <v>1450</v>
      </c>
      <c r="D65" s="159">
        <v>1161</v>
      </c>
      <c r="E65" s="159"/>
    </row>
    <row r="66" spans="1:5">
      <c r="A66" s="195">
        <v>44986</v>
      </c>
      <c r="B66" s="160">
        <v>971</v>
      </c>
      <c r="C66" s="158">
        <v>1327</v>
      </c>
      <c r="D66" s="159">
        <v>1065</v>
      </c>
      <c r="E66" s="159"/>
    </row>
    <row r="67" spans="1:5">
      <c r="A67" s="195">
        <v>45017</v>
      </c>
      <c r="B67" s="160">
        <v>975</v>
      </c>
      <c r="C67" s="158">
        <v>1239</v>
      </c>
      <c r="D67" s="159">
        <v>953</v>
      </c>
      <c r="E67" s="159"/>
    </row>
    <row r="68" spans="1:5">
      <c r="A68" s="195">
        <v>45047</v>
      </c>
      <c r="B68" s="160">
        <v>877</v>
      </c>
      <c r="C68" s="158">
        <v>1188</v>
      </c>
      <c r="D68" s="159">
        <v>919</v>
      </c>
      <c r="E68" s="159"/>
    </row>
    <row r="69" spans="1:5">
      <c r="A69" s="195">
        <v>45078</v>
      </c>
      <c r="B69" s="160">
        <v>804</v>
      </c>
      <c r="C69" s="158">
        <v>1346</v>
      </c>
      <c r="D69" s="159">
        <v>964</v>
      </c>
      <c r="E69" s="159"/>
    </row>
    <row r="70" spans="1:5">
      <c r="A70" s="195">
        <v>45108</v>
      </c>
      <c r="B70" s="160">
        <v>891</v>
      </c>
      <c r="C70" s="158">
        <v>1585</v>
      </c>
      <c r="D70" s="159">
        <v>1006</v>
      </c>
      <c r="E70" s="159"/>
    </row>
    <row r="71" spans="1:5">
      <c r="A71" s="195">
        <v>45139</v>
      </c>
      <c r="B71" s="160">
        <v>867</v>
      </c>
      <c r="C71" s="158">
        <v>1566</v>
      </c>
      <c r="D71" s="159">
        <v>986</v>
      </c>
      <c r="E71" s="159"/>
    </row>
    <row r="72" spans="1:5">
      <c r="A72" s="195">
        <v>45170</v>
      </c>
      <c r="B72" s="160">
        <v>834</v>
      </c>
      <c r="C72" s="158">
        <v>1463</v>
      </c>
      <c r="D72" s="159">
        <v>937</v>
      </c>
      <c r="E72" s="159"/>
    </row>
    <row r="73" spans="1:5">
      <c r="A73" s="195">
        <v>45200</v>
      </c>
      <c r="B73" s="160">
        <v>810</v>
      </c>
      <c r="C73" s="158">
        <v>1254</v>
      </c>
      <c r="D73" s="159">
        <v>910</v>
      </c>
      <c r="E73" s="159"/>
    </row>
    <row r="74" spans="1:5">
      <c r="A74" s="195">
        <v>45231</v>
      </c>
      <c r="B74" s="160">
        <v>840</v>
      </c>
      <c r="C74" s="158">
        <v>1215</v>
      </c>
      <c r="D74" s="159">
        <v>998</v>
      </c>
      <c r="E74" s="159"/>
    </row>
    <row r="75" spans="1:5">
      <c r="A75" s="195">
        <v>45261</v>
      </c>
      <c r="B75" s="160">
        <v>825</v>
      </c>
      <c r="C75" s="158">
        <v>1165</v>
      </c>
      <c r="D75" s="159">
        <v>893</v>
      </c>
      <c r="E75" s="159"/>
    </row>
    <row r="76" spans="1:5">
      <c r="A76" s="195">
        <v>45292</v>
      </c>
      <c r="B76" s="160">
        <v>853</v>
      </c>
      <c r="C76" s="158">
        <v>1103</v>
      </c>
      <c r="D76" s="159">
        <v>851</v>
      </c>
      <c r="E76" s="159"/>
    </row>
    <row r="77" spans="1:5">
      <c r="A77" s="195">
        <v>45323</v>
      </c>
      <c r="B77" s="160">
        <v>863</v>
      </c>
      <c r="C77" s="158">
        <v>1061</v>
      </c>
      <c r="D77" s="159">
        <v>833</v>
      </c>
      <c r="E77" s="159"/>
    </row>
    <row r="78" spans="1:5">
      <c r="A78" s="195">
        <v>45352</v>
      </c>
      <c r="B78" s="160">
        <v>955</v>
      </c>
      <c r="C78" s="158">
        <v>1092</v>
      </c>
      <c r="D78" s="159">
        <v>907</v>
      </c>
      <c r="E78" s="159"/>
    </row>
    <row r="79" spans="1:5">
      <c r="A79" s="195">
        <v>45383</v>
      </c>
      <c r="B79" s="160">
        <v>926</v>
      </c>
      <c r="C79" s="158">
        <v>1039</v>
      </c>
      <c r="D79" s="159">
        <v>891</v>
      </c>
      <c r="E79" s="159"/>
    </row>
    <row r="80" spans="1:5">
      <c r="A80" s="195">
        <v>45413</v>
      </c>
      <c r="B80" s="160">
        <v>861</v>
      </c>
      <c r="C80" s="158">
        <v>991</v>
      </c>
      <c r="D80" s="159">
        <v>910</v>
      </c>
      <c r="E80" s="159"/>
    </row>
    <row r="81" spans="1:5">
      <c r="A81" s="195">
        <v>45444</v>
      </c>
      <c r="B81" s="160">
        <v>833</v>
      </c>
      <c r="C81" s="158">
        <v>996</v>
      </c>
      <c r="D81" s="159">
        <v>940</v>
      </c>
      <c r="E81" s="159"/>
    </row>
    <row r="82" spans="1:5">
      <c r="A82" s="195">
        <v>45474</v>
      </c>
      <c r="B82" s="160">
        <v>900</v>
      </c>
      <c r="C82" s="158">
        <v>1057</v>
      </c>
      <c r="D82" s="159">
        <v>944</v>
      </c>
      <c r="E82" s="159"/>
    </row>
    <row r="83" spans="1:5">
      <c r="A83" s="195">
        <v>45505</v>
      </c>
      <c r="B83" s="160">
        <v>923</v>
      </c>
      <c r="C83" s="158">
        <v>962</v>
      </c>
      <c r="D83" s="159">
        <v>921</v>
      </c>
      <c r="E83" s="159"/>
    </row>
    <row r="84" spans="1:5">
      <c r="A84" s="195">
        <v>45536</v>
      </c>
      <c r="B84" s="160">
        <v>988</v>
      </c>
      <c r="C84" s="158">
        <v>959</v>
      </c>
      <c r="D84" s="159">
        <v>945</v>
      </c>
      <c r="E84" s="159"/>
    </row>
    <row r="85" spans="1:5">
      <c r="A85" s="195">
        <v>45566</v>
      </c>
      <c r="B85" s="160">
        <v>1089</v>
      </c>
      <c r="C85" s="158">
        <v>1002</v>
      </c>
      <c r="D85" s="159">
        <v>1067</v>
      </c>
      <c r="E85" s="159"/>
    </row>
    <row r="86" spans="1:5">
      <c r="A86" s="195">
        <v>45597</v>
      </c>
      <c r="B86" s="160">
        <v>1188</v>
      </c>
      <c r="C86" s="158">
        <v>1056</v>
      </c>
      <c r="D86" s="159">
        <v>1109</v>
      </c>
      <c r="E86" s="159"/>
    </row>
    <row r="88" spans="1:5">
      <c r="B88" s="140"/>
      <c r="C88" s="140"/>
    </row>
    <row r="90" spans="1:5">
      <c r="B90" s="159"/>
      <c r="C90" s="159"/>
    </row>
    <row r="91" spans="1:5">
      <c r="C91" s="14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7"/>
  <sheetViews>
    <sheetView showGridLines="0" zoomScale="70" zoomScaleNormal="70" workbookViewId="0"/>
  </sheetViews>
  <sheetFormatPr defaultColWidth="9.33203125" defaultRowHeight="13.2"/>
  <cols>
    <col min="1" max="1" width="21.5546875" customWidth="1"/>
    <col min="2" max="2" width="14.33203125" customWidth="1"/>
    <col min="3" max="3" width="9.5546875" customWidth="1"/>
    <col min="4" max="4" width="26.5546875" customWidth="1"/>
    <col min="5" max="5" width="9.5546875" customWidth="1"/>
    <col min="6" max="6" width="10.5546875" customWidth="1"/>
    <col min="7" max="7" width="19.6640625" customWidth="1"/>
    <col min="8" max="8" width="18.6640625" customWidth="1"/>
    <col min="9" max="9" width="1.5546875" customWidth="1"/>
    <col min="10" max="10" width="14.5546875" customWidth="1"/>
    <col min="11" max="12" width="10.5546875" customWidth="1"/>
    <col min="13" max="13" width="10.44140625" customWidth="1"/>
    <col min="14" max="14" width="9.5546875" customWidth="1"/>
    <col min="17" max="17" width="15.44140625" bestFit="1" customWidth="1"/>
    <col min="18" max="18" width="13.44140625" bestFit="1" customWidth="1"/>
    <col min="22" max="22" width="12.3320312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14</v>
      </c>
      <c r="C2" s="144"/>
      <c r="D2" s="17" t="s">
        <v>15</v>
      </c>
      <c r="E2" s="18"/>
      <c r="F2" s="144" t="s">
        <v>16</v>
      </c>
      <c r="G2" s="144"/>
      <c r="H2" s="144"/>
      <c r="I2" s="15"/>
      <c r="J2" s="18"/>
      <c r="K2" s="144"/>
      <c r="L2" s="19" t="s">
        <v>17</v>
      </c>
      <c r="M2" s="144"/>
      <c r="N2" s="15"/>
    </row>
    <row r="3" spans="1:23" ht="13.8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3.8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4">
      <c r="A5" s="15"/>
      <c r="B5" s="112" t="s">
        <v>32</v>
      </c>
      <c r="C5" s="145"/>
      <c r="D5" s="27" t="s">
        <v>33</v>
      </c>
      <c r="G5" s="112"/>
      <c r="I5" s="112"/>
      <c r="J5" s="112" t="s">
        <v>34</v>
      </c>
      <c r="K5" s="112"/>
      <c r="L5" s="112"/>
      <c r="M5" s="112"/>
      <c r="N5" s="112"/>
      <c r="W5" s="26"/>
    </row>
    <row r="6" spans="1:23" ht="16.5" customHeight="1">
      <c r="A6" s="15" t="s">
        <v>35</v>
      </c>
      <c r="B6" s="115">
        <v>87.45</v>
      </c>
      <c r="C6" s="115">
        <v>86.174000000000007</v>
      </c>
      <c r="D6" s="115">
        <f>F6/C6</f>
        <v>49.555329913895143</v>
      </c>
      <c r="E6" s="116">
        <v>274.39400000000001</v>
      </c>
      <c r="F6" s="117">
        <v>4270.3810000000003</v>
      </c>
      <c r="G6" s="121">
        <f>(667064.2*36.74371)/1000000</f>
        <v>24.510413516181998</v>
      </c>
      <c r="H6" s="118">
        <f>SUM(E6:G6)</f>
        <v>4569.2854135161824</v>
      </c>
      <c r="I6" s="15"/>
      <c r="J6" s="117">
        <f>2211.9378</f>
        <v>2211.9378000000002</v>
      </c>
      <c r="K6" s="117">
        <f>M6-L6-J6</f>
        <v>113.61949603461198</v>
      </c>
      <c r="L6" s="118">
        <f>(53874367*36.74371)/1000000</f>
        <v>1979.5441174815701</v>
      </c>
      <c r="M6" s="118">
        <f>H6-N6</f>
        <v>4305.1014135161822</v>
      </c>
      <c r="N6" s="118">
        <v>264.18400000000003</v>
      </c>
    </row>
    <row r="7" spans="1:23" ht="16.5" customHeight="1">
      <c r="A7" s="15" t="s">
        <v>36</v>
      </c>
      <c r="B7" s="115">
        <v>83.6</v>
      </c>
      <c r="C7" s="115">
        <v>82.271000000000001</v>
      </c>
      <c r="D7" s="115">
        <f>F7/C7</f>
        <v>50.589600223651104</v>
      </c>
      <c r="E7" s="116">
        <f>N6</f>
        <v>264.18400000000003</v>
      </c>
      <c r="F7" s="117">
        <v>4162.0569999999998</v>
      </c>
      <c r="G7" s="118">
        <f>G27</f>
        <v>20.835116574689998</v>
      </c>
      <c r="H7" s="118">
        <f>SUM(E7:G7)</f>
        <v>4447.0761165746899</v>
      </c>
      <c r="I7" s="15"/>
      <c r="J7" s="117">
        <f>J27</f>
        <v>2287.0708994772822</v>
      </c>
      <c r="K7" s="117">
        <f>M7-L7-J7</f>
        <v>123.06352314620244</v>
      </c>
      <c r="L7" s="118">
        <f>L27</f>
        <v>1694.931693951205</v>
      </c>
      <c r="M7" s="118">
        <f>H7-N7</f>
        <v>4105.0661165746897</v>
      </c>
      <c r="N7" s="118">
        <f>N26</f>
        <v>342.01</v>
      </c>
      <c r="P7" s="148"/>
    </row>
    <row r="8" spans="1:23" s="172" customFormat="1" ht="16.5" customHeight="1">
      <c r="A8" s="132" t="s">
        <v>37</v>
      </c>
      <c r="B8" s="167">
        <v>87.1</v>
      </c>
      <c r="C8" s="167">
        <v>86.271000000000001</v>
      </c>
      <c r="D8" s="167">
        <f>F8/C8</f>
        <v>51.712742404747836</v>
      </c>
      <c r="E8" s="168">
        <f>N7</f>
        <v>342.01</v>
      </c>
      <c r="F8" s="169">
        <v>4461.3100000000004</v>
      </c>
      <c r="G8" s="170">
        <v>15</v>
      </c>
      <c r="H8" s="170">
        <f>SUM(E8:G8)</f>
        <v>4818.3200000000006</v>
      </c>
      <c r="I8" s="132"/>
      <c r="J8" s="169">
        <v>2410</v>
      </c>
      <c r="K8" s="171">
        <v>113</v>
      </c>
      <c r="L8" s="170">
        <v>1825</v>
      </c>
      <c r="M8" s="170">
        <f>SUM(J8:L8)</f>
        <v>4348</v>
      </c>
      <c r="N8" s="170">
        <f>H8-M8</f>
        <v>470.32000000000062</v>
      </c>
      <c r="P8" s="173"/>
      <c r="Q8" s="173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53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13"/>
      <c r="S10" s="114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(37479.5*36.74371)/1000000</f>
        <v>1.3771358789450001</v>
      </c>
      <c r="H11" s="13"/>
      <c r="I11" s="83"/>
      <c r="J11" s="6">
        <f>((5242931*0.907185)*36.74371)/1000000</f>
        <v>174.76441502230665</v>
      </c>
      <c r="K11" s="31"/>
      <c r="L11" s="6">
        <f>(2498517*36.74371)/1000000</f>
        <v>91.80478407807</v>
      </c>
      <c r="M11" s="6"/>
      <c r="N11" s="13"/>
      <c r="Q11" s="86"/>
      <c r="R11" s="113"/>
      <c r="S11" s="114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(19292.3*36.74371)/1000000</f>
        <v>0.70887067643300006</v>
      </c>
      <c r="H12" s="13"/>
      <c r="I12" s="83"/>
      <c r="J12" s="6">
        <f>((6041685*0.907185)*36.74371)/1000000</f>
        <v>201.38955572256145</v>
      </c>
      <c r="K12" s="31"/>
      <c r="L12" s="6">
        <f>(9422340.2*36.74371)/1000000</f>
        <v>346.21173583014195</v>
      </c>
      <c r="M12" s="6"/>
      <c r="N12" s="13"/>
      <c r="Q12" s="86"/>
      <c r="R12" s="113"/>
      <c r="S12" s="114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(46381*36.74371)/1000000</f>
        <v>1.70421001351</v>
      </c>
      <c r="H13" s="13"/>
      <c r="I13" s="83"/>
      <c r="J13" s="6">
        <f>((6002708*0.907185)*36.74371)/1000000</f>
        <v>200.09032202974259</v>
      </c>
      <c r="K13" s="31"/>
      <c r="L13" s="6">
        <f>(7462119.8*36.74371)/1000000</f>
        <v>274.18596591645803</v>
      </c>
      <c r="M13" s="6"/>
      <c r="N13" s="106"/>
      <c r="Q13" s="86"/>
      <c r="R13" s="113"/>
      <c r="S13" s="113"/>
    </row>
    <row r="14" spans="1:23" ht="16.5" customHeight="1">
      <c r="A14" s="15" t="s">
        <v>41</v>
      </c>
      <c r="B14" s="83"/>
      <c r="C14" s="83"/>
      <c r="D14" s="83"/>
      <c r="E14" s="32">
        <f>N6</f>
        <v>264.18400000000003</v>
      </c>
      <c r="F14" s="62">
        <v>4162.0569999999998</v>
      </c>
      <c r="G14" s="6">
        <f>SUM(G11:G13)</f>
        <v>3.7902165688880003</v>
      </c>
      <c r="H14" s="13">
        <f>SUM(E14:G14)</f>
        <v>4430.0312165688883</v>
      </c>
      <c r="I14" s="83"/>
      <c r="J14" s="6">
        <f>SUM(J11:J13)</f>
        <v>576.2442927746107</v>
      </c>
      <c r="K14" s="31">
        <f>M14-L14-J14</f>
        <v>140.86543796960757</v>
      </c>
      <c r="L14" s="6">
        <f>SUM(L11:L13)</f>
        <v>712.20248582467002</v>
      </c>
      <c r="M14" s="6">
        <f>H14-N14</f>
        <v>1429.3122165688883</v>
      </c>
      <c r="N14" s="107">
        <v>3000.7190000000001</v>
      </c>
      <c r="R14" s="113"/>
      <c r="S14" s="113"/>
    </row>
    <row r="15" spans="1:23" ht="16.5" customHeight="1">
      <c r="A15" s="15" t="s">
        <v>42</v>
      </c>
      <c r="B15" s="83"/>
      <c r="C15" s="83"/>
      <c r="D15" s="83"/>
      <c r="E15" s="32"/>
      <c r="F15" s="32"/>
      <c r="G15" s="6">
        <f>(18649.8*36.74371)/1000000</f>
        <v>0.68526284275799998</v>
      </c>
      <c r="H15" s="13"/>
      <c r="I15" s="83"/>
      <c r="J15" s="6">
        <f>((6128558*0.907185)*36.74371)/1000000</f>
        <v>204.28532319045925</v>
      </c>
      <c r="K15" s="31"/>
      <c r="L15" s="6">
        <f>(4738450.9*36.74371)/1000000</f>
        <v>174.10826571883902</v>
      </c>
      <c r="M15" s="6"/>
      <c r="N15" s="107"/>
      <c r="R15" s="113"/>
      <c r="S15" s="113"/>
    </row>
    <row r="16" spans="1:23" ht="16.5" customHeight="1">
      <c r="A16" s="15" t="s">
        <v>43</v>
      </c>
      <c r="B16" s="83"/>
      <c r="C16" s="83"/>
      <c r="D16" s="83"/>
      <c r="E16" s="32"/>
      <c r="F16" s="32"/>
      <c r="G16" s="6">
        <f>(25838.2*36.74371)/1000000</f>
        <v>0.94939132772200008</v>
      </c>
      <c r="H16" s="13"/>
      <c r="I16" s="83"/>
      <c r="J16" s="6">
        <f>((5844947*0.907185)*36.74371)/1000000</f>
        <v>194.83162057471029</v>
      </c>
      <c r="K16" s="31"/>
      <c r="L16" s="6">
        <f>(5961252*36.74371)/1000000</f>
        <v>219.03851472491999</v>
      </c>
      <c r="M16" s="6"/>
      <c r="N16" s="107"/>
      <c r="R16" s="113"/>
      <c r="S16" s="113"/>
    </row>
    <row r="17" spans="1:24" ht="16.5" customHeight="1">
      <c r="A17" s="15" t="s">
        <v>44</v>
      </c>
      <c r="B17" s="83"/>
      <c r="C17" s="83"/>
      <c r="D17" s="83"/>
      <c r="E17" s="32"/>
      <c r="F17" s="32"/>
      <c r="G17" s="6">
        <f>(24300.7*36.74371)/1000000</f>
        <v>0.89289787359700001</v>
      </c>
      <c r="H17" s="13"/>
      <c r="I17" s="83"/>
      <c r="J17" s="6">
        <f>((5817974*0.907185)*36.74371)/1000000</f>
        <v>193.93252032593784</v>
      </c>
      <c r="K17" s="31"/>
      <c r="L17" s="6">
        <f>(5263949.5*36.74371)/1000000</f>
        <v>193.417033882645</v>
      </c>
      <c r="M17" s="6"/>
      <c r="N17" s="107"/>
      <c r="Q17" s="86"/>
      <c r="R17" s="113"/>
      <c r="S17" s="113"/>
    </row>
    <row r="18" spans="1:24" ht="16.5" customHeight="1">
      <c r="A18" s="15" t="s">
        <v>45</v>
      </c>
      <c r="B18" s="83"/>
      <c r="C18" s="83"/>
      <c r="D18" s="83"/>
      <c r="E18" s="32">
        <f>N14</f>
        <v>3000.7190000000001</v>
      </c>
      <c r="F18" s="32"/>
      <c r="G18" s="6">
        <f>SUM(G15:G17)</f>
        <v>2.5275520440770003</v>
      </c>
      <c r="H18" s="13">
        <f>SUM(E18:G18)</f>
        <v>3003.2465520440769</v>
      </c>
      <c r="I18" s="83"/>
      <c r="J18" s="6">
        <f>SUM(J15:J17)</f>
        <v>593.04946409110744</v>
      </c>
      <c r="K18" s="31">
        <f>M18-L18-J18</f>
        <v>-21.445726373434468</v>
      </c>
      <c r="L18" s="6">
        <f>SUM(L15:L17)</f>
        <v>586.56381432640399</v>
      </c>
      <c r="M18" s="6">
        <f>H18-N18</f>
        <v>1158.167552044077</v>
      </c>
      <c r="N18" s="107">
        <v>1845.079</v>
      </c>
      <c r="P18" s="34"/>
      <c r="R18" s="113"/>
      <c r="S18" s="113"/>
    </row>
    <row r="19" spans="1:24" ht="16.5" customHeight="1">
      <c r="A19" s="15" t="s">
        <v>46</v>
      </c>
      <c r="B19" s="83"/>
      <c r="C19" s="83"/>
      <c r="D19" s="83"/>
      <c r="E19" s="32"/>
      <c r="F19" s="32"/>
      <c r="G19" s="6">
        <f>(144280.7*36.74371)/1000000</f>
        <v>5.3014081993970006</v>
      </c>
      <c r="H19" s="13"/>
      <c r="I19" s="83"/>
      <c r="J19" s="6">
        <f>((6111759*0.907185)*36.74371)/1000000</f>
        <v>203.72535636885513</v>
      </c>
      <c r="K19" s="31"/>
      <c r="L19" s="6">
        <f>(3054246.9*36.74371)/1000000</f>
        <v>112.22436236199898</v>
      </c>
      <c r="M19" s="6"/>
      <c r="N19" s="107"/>
      <c r="Q19" s="86"/>
      <c r="R19" s="113"/>
      <c r="S19" s="113"/>
    </row>
    <row r="20" spans="1:24" ht="16.5" customHeight="1">
      <c r="A20" s="15" t="s">
        <v>47</v>
      </c>
      <c r="B20" s="83"/>
      <c r="C20" s="83"/>
      <c r="D20" s="83"/>
      <c r="E20" s="32"/>
      <c r="F20" s="32"/>
      <c r="G20" s="6">
        <f>(57199.7*36.74371)/1000000</f>
        <v>2.101729188887</v>
      </c>
      <c r="H20" s="13"/>
      <c r="I20" s="83"/>
      <c r="J20" s="6">
        <f>((5332051*0.907185)*36.74371)/1000000</f>
        <v>177.73508251092858</v>
      </c>
      <c r="K20" s="31"/>
      <c r="L20" s="6">
        <f>(1769751.6*36.74371)/1000000</f>
        <v>65.027239562436009</v>
      </c>
      <c r="M20" s="6"/>
      <c r="N20" s="107"/>
      <c r="R20" s="113"/>
      <c r="S20" s="113"/>
    </row>
    <row r="21" spans="1:24" ht="16.5" customHeight="1">
      <c r="A21" s="15" t="s">
        <v>48</v>
      </c>
      <c r="B21" s="83"/>
      <c r="C21" s="83"/>
      <c r="D21" s="83"/>
      <c r="E21" s="32"/>
      <c r="F21" s="32"/>
      <c r="G21" s="6">
        <f>(32603.2*36.74371)/1000000</f>
        <v>1.1979625258719999</v>
      </c>
      <c r="H21" s="13"/>
      <c r="I21" s="83"/>
      <c r="J21" s="6">
        <f>((5754152*0.907185)*36.74371)/1000000</f>
        <v>191.80511973730648</v>
      </c>
      <c r="K21" s="31"/>
      <c r="L21" s="6">
        <f>(1410073.2*36.74371)/1000000</f>
        <v>51.811320739571997</v>
      </c>
      <c r="M21" s="6"/>
      <c r="N21" s="107"/>
      <c r="P21" s="83"/>
      <c r="Q21" s="86"/>
      <c r="R21" s="113"/>
      <c r="S21" s="113"/>
    </row>
    <row r="22" spans="1:24" ht="16.5" customHeight="1">
      <c r="A22" s="15" t="s">
        <v>54</v>
      </c>
      <c r="B22" s="83"/>
      <c r="C22" s="83"/>
      <c r="D22" s="83"/>
      <c r="E22" s="32">
        <f>N18</f>
        <v>1845.079</v>
      </c>
      <c r="F22" s="32"/>
      <c r="G22" s="6">
        <f>SUM(G19:G21)</f>
        <v>8.6010999141560003</v>
      </c>
      <c r="H22" s="13">
        <f>SUM(E22:G22)</f>
        <v>1853.680099914156</v>
      </c>
      <c r="I22" s="83"/>
      <c r="J22" s="6">
        <f>SUM(J19:J21)</f>
        <v>573.26555861709016</v>
      </c>
      <c r="K22" s="13">
        <f>M22-L22-J22</f>
        <v>81.301618633058979</v>
      </c>
      <c r="L22" s="6">
        <f>SUM(L19:L21)</f>
        <v>229.06292266400698</v>
      </c>
      <c r="M22" s="6">
        <f>H22-N22</f>
        <v>883.63009991415606</v>
      </c>
      <c r="N22" s="13">
        <v>970.05</v>
      </c>
      <c r="P22" s="83"/>
    </row>
    <row r="23" spans="1:24" ht="16.5" customHeight="1">
      <c r="A23" s="15" t="s">
        <v>49</v>
      </c>
      <c r="B23" s="83"/>
      <c r="C23" s="83"/>
      <c r="D23" s="83"/>
      <c r="E23" s="32"/>
      <c r="F23" s="32"/>
      <c r="G23" s="6">
        <f>(31221.6*36.74371)/1000000</f>
        <v>1.1471974161359999</v>
      </c>
      <c r="H23" s="13"/>
      <c r="I23" s="83"/>
      <c r="J23" s="6">
        <f>((5510461*0.907185)*36.74371)/1000000</f>
        <v>183.682084156407</v>
      </c>
      <c r="K23" s="13"/>
      <c r="L23" s="6">
        <f>(1338976.8*36.74371)/1000000</f>
        <v>49.198975235927996</v>
      </c>
      <c r="M23" s="6"/>
      <c r="N23" s="13"/>
    </row>
    <row r="24" spans="1:24" ht="16.5" customHeight="1">
      <c r="A24" s="15" t="s">
        <v>50</v>
      </c>
      <c r="B24" s="83"/>
      <c r="C24" s="83"/>
      <c r="D24" s="83"/>
      <c r="E24" s="32"/>
      <c r="F24" s="32"/>
      <c r="G24" s="6">
        <f>(59884.6*36.74371)/1000000</f>
        <v>2.2003823758659999</v>
      </c>
      <c r="H24" s="13"/>
      <c r="I24" s="83"/>
      <c r="J24" s="6">
        <f>((5798234*0.907185)*36.74371)/1000000</f>
        <v>193.27452014387549</v>
      </c>
      <c r="K24" s="13"/>
      <c r="L24" s="6">
        <f>(1494549.2*36.74371)/1000000</f>
        <v>54.915282385532002</v>
      </c>
      <c r="M24" s="6"/>
      <c r="N24" s="13"/>
      <c r="Q24" s="86"/>
    </row>
    <row r="25" spans="1:24" ht="16.5" customHeight="1">
      <c r="A25" s="15" t="s">
        <v>51</v>
      </c>
      <c r="B25" s="83"/>
      <c r="C25" s="83"/>
      <c r="D25" s="83"/>
      <c r="E25" s="32"/>
      <c r="F25" s="32"/>
      <c r="G25" s="6">
        <f>(69907.6*36.74371)/1000000</f>
        <v>2.5686645811960003</v>
      </c>
      <c r="H25" s="13"/>
      <c r="I25" s="83"/>
      <c r="J25" s="6">
        <f>((5026648*0.907185)*36.74371)/1000000</f>
        <v>167.55497969419164</v>
      </c>
      <c r="K25" s="13"/>
      <c r="L25" s="6">
        <f>(1714258.5*36.74371)/1000000</f>
        <v>62.988217189034998</v>
      </c>
      <c r="M25" s="6"/>
      <c r="N25" s="13"/>
    </row>
    <row r="26" spans="1:24" ht="16.5" customHeight="1">
      <c r="A26" s="15" t="s">
        <v>52</v>
      </c>
      <c r="B26" s="83"/>
      <c r="C26" s="83"/>
      <c r="D26" s="83"/>
      <c r="E26" s="32">
        <f>N22</f>
        <v>970.05</v>
      </c>
      <c r="F26" s="32"/>
      <c r="G26" s="6">
        <f>SUM(G23:G25)</f>
        <v>5.9162443731979995</v>
      </c>
      <c r="H26" s="13">
        <f>SUM(E26:G26)</f>
        <v>975.96624437319792</v>
      </c>
      <c r="I26" s="83"/>
      <c r="J26" s="6">
        <f>SUM(J23:J25)</f>
        <v>544.51158399447411</v>
      </c>
      <c r="K26" s="31">
        <f>M26-J26-L26</f>
        <v>-77.657814431771158</v>
      </c>
      <c r="L26" s="6">
        <f>SUM(L23:L25)</f>
        <v>167.10247481049498</v>
      </c>
      <c r="M26" s="6">
        <f>H26-N26</f>
        <v>633.95624437319793</v>
      </c>
      <c r="N26" s="99">
        <v>342.01</v>
      </c>
      <c r="Q26" s="136"/>
    </row>
    <row r="27" spans="1:24" ht="16.5" customHeight="1">
      <c r="A27" s="15" t="s">
        <v>29</v>
      </c>
      <c r="B27" s="83"/>
      <c r="C27" s="83"/>
      <c r="D27" s="83"/>
      <c r="E27" s="32"/>
      <c r="F27" s="32"/>
      <c r="G27" s="142">
        <f>(567039*36.74371)/1000000</f>
        <v>20.835116574689998</v>
      </c>
      <c r="H27" s="93"/>
      <c r="I27" s="94"/>
      <c r="J27" s="6">
        <f>SUM(J14,J18,J22,J26)</f>
        <v>2287.0708994772822</v>
      </c>
      <c r="K27" s="6"/>
      <c r="L27" s="142">
        <f>(46128.4855*36.74371)/1000</f>
        <v>1694.931693951205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3"/>
      <c r="K28" s="31"/>
      <c r="L28" s="6"/>
      <c r="M28" s="6"/>
      <c r="N28" s="13"/>
      <c r="R28" s="83"/>
    </row>
    <row r="29" spans="1:24" ht="16.5" customHeight="1">
      <c r="A29" s="30" t="s">
        <v>158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6"/>
      <c r="X29" s="97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(83703.7*36.74371)/1000000</f>
        <v>3.0755844787269999</v>
      </c>
      <c r="H30" s="13"/>
      <c r="I30" s="83"/>
      <c r="J30" s="6">
        <f>((5595095*0.907185)*36.74371)/1000000</f>
        <v>186.5032182703211</v>
      </c>
      <c r="K30" s="31"/>
      <c r="L30" s="6">
        <f>(2977475.4*36.74371)/1000000</f>
        <v>109.40349262973399</v>
      </c>
      <c r="M30" s="6"/>
      <c r="N30" s="13"/>
      <c r="T30" s="95"/>
    </row>
    <row r="31" spans="1:24" s="172" customFormat="1" ht="16.5" customHeight="1">
      <c r="A31" s="132" t="s">
        <v>39</v>
      </c>
      <c r="B31" s="174"/>
      <c r="C31" s="174"/>
      <c r="D31" s="174"/>
      <c r="E31" s="175"/>
      <c r="F31" s="175"/>
      <c r="G31" s="105">
        <f>(21164.7*36.74371)/1000000</f>
        <v>0.77766959903699995</v>
      </c>
      <c r="H31" s="176"/>
      <c r="I31" s="174"/>
      <c r="J31" s="105">
        <f>((6473504*0.907185)*36.74371)/1000000</f>
        <v>215.78352637190193</v>
      </c>
      <c r="K31" s="177"/>
      <c r="L31" s="105">
        <f>(9426929.5*36.74371)/1000000</f>
        <v>346.380363738445</v>
      </c>
      <c r="M31" s="105"/>
      <c r="N31" s="176"/>
      <c r="T31" s="178"/>
    </row>
    <row r="32" spans="1:24" ht="16.5" customHeight="1">
      <c r="A32" s="79" t="s">
        <v>55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80"/>
      <c r="M32" s="69"/>
      <c r="N32" s="69"/>
      <c r="T32" s="95"/>
    </row>
    <row r="33" spans="1:20" ht="16.5" customHeight="1">
      <c r="A33" s="15" t="s">
        <v>56</v>
      </c>
      <c r="B33" s="15"/>
      <c r="C33" s="15"/>
      <c r="D33" s="15"/>
      <c r="E33" s="35"/>
      <c r="F33" s="35"/>
      <c r="G33" s="35"/>
      <c r="H33" s="35"/>
      <c r="I33" s="35"/>
      <c r="J33" s="35"/>
      <c r="K33" s="35"/>
      <c r="L33" s="35"/>
      <c r="M33" s="35"/>
      <c r="N33" s="35"/>
      <c r="T33" s="95"/>
    </row>
    <row r="34" spans="1:20" ht="16.5" customHeight="1">
      <c r="A34" s="20" t="s">
        <v>57</v>
      </c>
      <c r="B34" s="36">
        <f>Contents!A18</f>
        <v>45638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T34" s="95"/>
    </row>
    <row r="35" spans="1:20" ht="16.5" customHeight="1">
      <c r="T35" s="95"/>
    </row>
    <row r="36" spans="1:20" ht="16.5" customHeight="1">
      <c r="K36" s="34"/>
      <c r="T36" s="95"/>
    </row>
    <row r="37" spans="1:20" ht="16.5" customHeight="1">
      <c r="K37" s="92"/>
      <c r="P37" s="34"/>
      <c r="T37" s="95"/>
    </row>
    <row r="38" spans="1:20" ht="16.5" customHeight="1">
      <c r="T38" s="95"/>
    </row>
    <row r="39" spans="1:20" ht="16.5" customHeight="1">
      <c r="J39" s="34"/>
      <c r="L39" s="34"/>
      <c r="T39" s="95"/>
    </row>
    <row r="40" spans="1:20" ht="16.5" customHeight="1">
      <c r="J40" s="34"/>
      <c r="L40" s="34"/>
      <c r="T40" s="95"/>
    </row>
    <row r="41" spans="1:20" ht="16.5" customHeight="1">
      <c r="J41" s="34"/>
      <c r="L41" s="34"/>
      <c r="T41" s="95"/>
    </row>
    <row r="42" spans="1:20" ht="16.5" customHeight="1">
      <c r="T42" s="95"/>
    </row>
    <row r="43" spans="1:20" ht="16.5" customHeight="1">
      <c r="T43" s="95"/>
    </row>
    <row r="44" spans="1:20" ht="16.5" customHeight="1">
      <c r="T44" s="95"/>
    </row>
    <row r="45" spans="1:20" ht="16.5" customHeight="1">
      <c r="T45" s="95"/>
    </row>
    <row r="46" spans="1:20" ht="16.5" customHeight="1"/>
    <row r="47" spans="1:20" ht="16.5" customHeight="1"/>
    <row r="48" spans="1:20" ht="16.5" customHeight="1"/>
    <row r="49" spans="15:73" ht="16.5" customHeight="1"/>
    <row r="50" spans="15:73" ht="16.5" customHeight="1">
      <c r="O50" s="83"/>
      <c r="P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</row>
    <row r="51" spans="15:73">
      <c r="O51" s="83"/>
      <c r="P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</row>
    <row r="52" spans="15:73">
      <c r="O52" s="83"/>
      <c r="P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</row>
    <row r="53" spans="15:73">
      <c r="O53" s="83"/>
      <c r="P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</row>
    <row r="54" spans="15:73">
      <c r="O54" s="83"/>
      <c r="P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</row>
    <row r="55" spans="15:73">
      <c r="O55" s="83"/>
      <c r="P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</row>
    <row r="56" spans="15:73">
      <c r="O56" s="83"/>
      <c r="P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</row>
    <row r="57" spans="15:73">
      <c r="O57" s="83"/>
      <c r="P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</row>
    <row r="58" spans="15:73">
      <c r="O58" s="83"/>
      <c r="P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</row>
    <row r="59" spans="15:73">
      <c r="O59" s="83"/>
      <c r="P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</row>
    <row r="60" spans="15:73">
      <c r="O60" s="83"/>
      <c r="P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</row>
    <row r="61" spans="15:73">
      <c r="O61" s="83"/>
      <c r="P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</row>
    <row r="62" spans="15:73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15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15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</sheetData>
  <dataConsolidate link="1"/>
  <phoneticPr fontId="53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33"/>
  <sheetViews>
    <sheetView showGridLines="0" zoomScale="70" zoomScaleNormal="70" workbookViewId="0"/>
  </sheetViews>
  <sheetFormatPr defaultColWidth="9.33203125" defaultRowHeight="13.2"/>
  <cols>
    <col min="1" max="1" width="16" customWidth="1"/>
    <col min="2" max="2" width="12.44140625" bestFit="1" customWidth="1"/>
    <col min="3" max="3" width="14.6640625" bestFit="1" customWidth="1"/>
    <col min="4" max="4" width="12" bestFit="1" customWidth="1"/>
    <col min="5" max="5" width="13.44140625" bestFit="1" customWidth="1"/>
    <col min="6" max="6" width="1.5546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0.6640625" customWidth="1"/>
  </cols>
  <sheetData>
    <row r="1" spans="1:14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13.8">
      <c r="A2" s="15"/>
      <c r="B2" s="197" t="s">
        <v>58</v>
      </c>
      <c r="C2" s="197"/>
      <c r="D2" s="197"/>
      <c r="E2" s="197"/>
      <c r="F2" s="15"/>
      <c r="G2" s="197" t="s">
        <v>59</v>
      </c>
      <c r="H2" s="197"/>
      <c r="I2" s="197"/>
      <c r="J2" s="15"/>
    </row>
    <row r="3" spans="1:14" ht="13.8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4" ht="13.8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4" ht="14.4">
      <c r="A5" s="15"/>
      <c r="B5" s="198" t="s">
        <v>67</v>
      </c>
      <c r="C5" s="198"/>
      <c r="D5" s="198"/>
      <c r="E5" s="198"/>
      <c r="F5" s="198"/>
      <c r="G5" s="198"/>
      <c r="H5" s="198"/>
      <c r="I5" s="198"/>
      <c r="J5" s="198"/>
    </row>
    <row r="6" spans="1:14" ht="13.8">
      <c r="A6" s="15" t="s">
        <v>35</v>
      </c>
      <c r="B6" s="196">
        <v>310.92700000000002</v>
      </c>
      <c r="C6" s="37">
        <v>52493.097999999998</v>
      </c>
      <c r="D6" s="37">
        <v>634.23588423800004</v>
      </c>
      <c r="E6" s="118">
        <f>SUM(B6:D6)</f>
        <v>53438.260884238</v>
      </c>
      <c r="F6" s="37"/>
      <c r="G6" s="37">
        <f>E6-H6-J6</f>
        <v>38520.852884237996</v>
      </c>
      <c r="H6" s="121">
        <v>14546.517</v>
      </c>
      <c r="I6" s="37">
        <f>E6-J6</f>
        <v>53067.369884237996</v>
      </c>
      <c r="J6" s="37">
        <v>370.89100000000002</v>
      </c>
      <c r="L6" s="149"/>
      <c r="M6" s="95"/>
    </row>
    <row r="7" spans="1:14" ht="16.2">
      <c r="A7" s="15" t="s">
        <v>36</v>
      </c>
      <c r="B7" s="196">
        <f>J6</f>
        <v>370.89100000000002</v>
      </c>
      <c r="C7" s="37">
        <f>C23</f>
        <v>54145.4</v>
      </c>
      <c r="D7" s="37">
        <f>D23</f>
        <v>687.28289952299997</v>
      </c>
      <c r="E7" s="118">
        <f>SUM(B7:D7)</f>
        <v>55203.573899523006</v>
      </c>
      <c r="F7" s="37"/>
      <c r="G7" s="37">
        <f>E7-H7-J7</f>
        <v>38642.946899523005</v>
      </c>
      <c r="H7" s="121">
        <v>16107.337</v>
      </c>
      <c r="I7" s="37">
        <f>E7-J7</f>
        <v>54750.283899523005</v>
      </c>
      <c r="J7" s="37">
        <f>J22</f>
        <v>453.29</v>
      </c>
      <c r="K7" s="149"/>
      <c r="L7" s="149"/>
    </row>
    <row r="8" spans="1:14" ht="16.2">
      <c r="A8" s="15" t="s">
        <v>37</v>
      </c>
      <c r="B8" s="196">
        <f>J7</f>
        <v>453.29</v>
      </c>
      <c r="C8" s="37">
        <v>56746.639000000003</v>
      </c>
      <c r="D8" s="37">
        <v>675</v>
      </c>
      <c r="E8" s="118">
        <f>SUM(B8:D8)</f>
        <v>57874.929000000004</v>
      </c>
      <c r="F8" s="37"/>
      <c r="G8" s="37">
        <v>40025</v>
      </c>
      <c r="H8" s="121">
        <v>17400</v>
      </c>
      <c r="I8" s="37">
        <f>SUM(G8:H8)</f>
        <v>57425</v>
      </c>
      <c r="J8" s="37">
        <f>E8-I8</f>
        <v>449.92900000000373</v>
      </c>
      <c r="L8" s="149"/>
    </row>
    <row r="9" spans="1:14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4" ht="13.8">
      <c r="A10" s="30" t="s">
        <v>53</v>
      </c>
      <c r="B10" s="39"/>
      <c r="C10" s="6"/>
      <c r="D10" s="6"/>
      <c r="E10" s="6"/>
      <c r="F10" s="6"/>
      <c r="G10" s="6"/>
      <c r="H10" s="6"/>
      <c r="I10" s="6"/>
      <c r="J10" s="6"/>
    </row>
    <row r="11" spans="1:14" ht="14.4">
      <c r="A11" s="15" t="s">
        <v>39</v>
      </c>
      <c r="B11" s="104">
        <f>J6</f>
        <v>370.89100000000002</v>
      </c>
      <c r="C11" s="105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8">
        <f t="shared" ref="I11:I20" si="2">E11-J11</f>
        <v>4822.5225635819997</v>
      </c>
      <c r="J11" s="105">
        <v>334.63900000000001</v>
      </c>
      <c r="K11" s="84"/>
      <c r="M11" s="120"/>
      <c r="N11" s="120"/>
    </row>
    <row r="12" spans="1:14" ht="14.4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(48390.3*1.10231)/1000</f>
        <v>53.341111593000001</v>
      </c>
      <c r="E12" s="6">
        <f t="shared" si="0"/>
        <v>5094.188111593</v>
      </c>
      <c r="F12" s="6"/>
      <c r="G12" s="6">
        <f t="shared" si="1"/>
        <v>3280.6629275390005</v>
      </c>
      <c r="H12" s="6">
        <f>(1369023.4*1.10231)/1000</f>
        <v>1509.0881840539998</v>
      </c>
      <c r="I12" s="6">
        <f t="shared" si="2"/>
        <v>4789.7511115930001</v>
      </c>
      <c r="J12" s="6">
        <v>304.43700000000001</v>
      </c>
      <c r="K12" s="84"/>
      <c r="M12" s="120"/>
      <c r="N12" s="120"/>
    </row>
    <row r="13" spans="1:14" ht="14.4">
      <c r="A13" s="15" t="s">
        <v>42</v>
      </c>
      <c r="B13" s="39">
        <f t="shared" si="3"/>
        <v>304.43700000000001</v>
      </c>
      <c r="C13" s="6">
        <v>4818.3419999999996</v>
      </c>
      <c r="D13" s="102">
        <f>(53099.9*1.10231)/1000</f>
        <v>58.532550768999997</v>
      </c>
      <c r="E13" s="102">
        <f t="shared" si="0"/>
        <v>5181.311550769</v>
      </c>
      <c r="F13" s="102"/>
      <c r="G13" s="102">
        <f t="shared" si="1"/>
        <v>3073.843674963</v>
      </c>
      <c r="H13" s="102">
        <f>(1457582.6*1.10231)/1000</f>
        <v>1606.7078758059999</v>
      </c>
      <c r="I13" s="102">
        <f t="shared" si="2"/>
        <v>4680.5515507689997</v>
      </c>
      <c r="J13" s="6">
        <v>500.76</v>
      </c>
      <c r="K13" s="84"/>
      <c r="M13" s="120"/>
      <c r="N13" s="120"/>
    </row>
    <row r="14" spans="1:14" ht="14.4">
      <c r="A14" s="15" t="s">
        <v>43</v>
      </c>
      <c r="B14" s="39">
        <f t="shared" si="3"/>
        <v>500.76</v>
      </c>
      <c r="C14" s="6">
        <v>4595.6220000000003</v>
      </c>
      <c r="D14" s="102">
        <f>(53674.5*1.10231)/1000</f>
        <v>59.165938094999994</v>
      </c>
      <c r="E14" s="102">
        <f t="shared" si="0"/>
        <v>5155.5479380950001</v>
      </c>
      <c r="F14" s="102"/>
      <c r="G14" s="102">
        <f t="shared" si="1"/>
        <v>3288.6776487350007</v>
      </c>
      <c r="H14" s="102">
        <f>(1376056*1.10231)/1000</f>
        <v>1516.8402893599998</v>
      </c>
      <c r="I14" s="102">
        <f t="shared" si="2"/>
        <v>4805.5179380950003</v>
      </c>
      <c r="J14" s="6">
        <v>350.03</v>
      </c>
      <c r="K14" s="84"/>
      <c r="M14" s="120"/>
      <c r="N14" s="120"/>
    </row>
    <row r="15" spans="1:14" ht="14.4">
      <c r="A15" s="15" t="s">
        <v>44</v>
      </c>
      <c r="B15" s="39">
        <f t="shared" si="3"/>
        <v>350.03</v>
      </c>
      <c r="C15" s="6">
        <v>4557.0920000000006</v>
      </c>
      <c r="D15" s="102">
        <f>(57158.1*1.10231)/1000</f>
        <v>63.00594521099999</v>
      </c>
      <c r="E15" s="102">
        <f t="shared" si="0"/>
        <v>4970.1279452110002</v>
      </c>
      <c r="F15" s="102"/>
      <c r="G15" s="102">
        <f t="shared" si="1"/>
        <v>3138.4475940110005</v>
      </c>
      <c r="H15" s="102">
        <f>(1365520*1.10231)/1000</f>
        <v>1505.2263512</v>
      </c>
      <c r="I15" s="102">
        <f t="shared" si="2"/>
        <v>4643.6739452110005</v>
      </c>
      <c r="J15" s="6">
        <v>326.45400000000001</v>
      </c>
      <c r="K15" s="84"/>
      <c r="M15" s="120"/>
      <c r="N15" s="120"/>
    </row>
    <row r="16" spans="1:14" ht="14.4">
      <c r="A16" s="15" t="s">
        <v>46</v>
      </c>
      <c r="B16" s="39">
        <f t="shared" si="3"/>
        <v>326.45400000000001</v>
      </c>
      <c r="C16" s="6">
        <v>4797.4049999999997</v>
      </c>
      <c r="D16" s="102">
        <f>(52412.6*1.10231)/1000</f>
        <v>57.774933105999999</v>
      </c>
      <c r="E16" s="102">
        <f t="shared" si="0"/>
        <v>5181.6339331059999</v>
      </c>
      <c r="F16" s="102"/>
      <c r="G16" s="102">
        <f t="shared" si="1"/>
        <v>2969.6471064249995</v>
      </c>
      <c r="H16" s="102">
        <f>(1498795.1*1.10231)/1000</f>
        <v>1652.136826681</v>
      </c>
      <c r="I16" s="102">
        <f t="shared" si="2"/>
        <v>4621.7839331059995</v>
      </c>
      <c r="J16" s="6">
        <v>559.85</v>
      </c>
      <c r="K16" s="84"/>
      <c r="M16" s="120"/>
      <c r="N16" s="120"/>
    </row>
    <row r="17" spans="1:14" ht="14.4">
      <c r="A17" s="15" t="s">
        <v>47</v>
      </c>
      <c r="B17" s="39">
        <f t="shared" si="3"/>
        <v>559.85</v>
      </c>
      <c r="C17" s="6">
        <v>4205.6130000000003</v>
      </c>
      <c r="D17" s="102">
        <f>(45671.7*1.10231)/1000</f>
        <v>50.344371626999994</v>
      </c>
      <c r="E17" s="102">
        <f t="shared" si="0"/>
        <v>4815.807371627001</v>
      </c>
      <c r="F17" s="102"/>
      <c r="G17" s="102">
        <f t="shared" si="1"/>
        <v>3094.5719551340007</v>
      </c>
      <c r="H17" s="102">
        <f>(1257180.3*1.10231)/1000</f>
        <v>1385.802416493</v>
      </c>
      <c r="I17" s="102">
        <f t="shared" si="2"/>
        <v>4480.374371627001</v>
      </c>
      <c r="J17" s="6">
        <v>335.43299999999999</v>
      </c>
      <c r="K17" s="84"/>
      <c r="M17" s="120"/>
      <c r="N17" s="120"/>
    </row>
    <row r="18" spans="1:14" ht="14.4">
      <c r="A18" s="15" t="s">
        <v>48</v>
      </c>
      <c r="B18" s="39">
        <f t="shared" si="3"/>
        <v>335.43299999999999</v>
      </c>
      <c r="C18" s="6">
        <v>4511.01</v>
      </c>
      <c r="D18" s="102">
        <f>(61818.5*1.10231)/1000</f>
        <v>68.143150734999992</v>
      </c>
      <c r="E18" s="102">
        <f t="shared" si="0"/>
        <v>4914.586150735</v>
      </c>
      <c r="F18" s="102"/>
      <c r="G18" s="102">
        <f t="shared" si="1"/>
        <v>3448.3553320180008</v>
      </c>
      <c r="H18" s="102">
        <f>(1010410.7*1.10231)/1000</f>
        <v>1113.7858187169998</v>
      </c>
      <c r="I18" s="102">
        <f t="shared" si="2"/>
        <v>4562.1411507350003</v>
      </c>
      <c r="J18" s="6">
        <v>352.44499999999999</v>
      </c>
      <c r="K18" s="84"/>
      <c r="M18" s="120"/>
      <c r="N18" s="120"/>
    </row>
    <row r="19" spans="1:14" ht="14.4">
      <c r="A19" s="15" t="s">
        <v>49</v>
      </c>
      <c r="B19" s="39">
        <f>J18</f>
        <v>352.44499999999999</v>
      </c>
      <c r="C19" s="6">
        <v>4335.0060000000003</v>
      </c>
      <c r="D19" s="102">
        <f>(44979.4*1.10231)/1000</f>
        <v>49.581242414000002</v>
      </c>
      <c r="E19" s="102">
        <f t="shared" si="0"/>
        <v>4737.0322424140004</v>
      </c>
      <c r="F19" s="102"/>
      <c r="G19" s="102">
        <f t="shared" si="1"/>
        <v>3010.5296164590004</v>
      </c>
      <c r="H19" s="102">
        <f>(1119080.5*1.10231)/1000</f>
        <v>1233.5736259549999</v>
      </c>
      <c r="I19" s="102">
        <f t="shared" si="2"/>
        <v>4244.1032424140003</v>
      </c>
      <c r="J19" s="6">
        <v>492.92899999999997</v>
      </c>
      <c r="K19" s="84"/>
      <c r="M19" s="120"/>
      <c r="N19" s="120"/>
    </row>
    <row r="20" spans="1:14" ht="14.4">
      <c r="A20" s="15" t="s">
        <v>50</v>
      </c>
      <c r="B20" s="39">
        <f>J19</f>
        <v>492.92899999999997</v>
      </c>
      <c r="C20" s="6">
        <v>4548.6549999999997</v>
      </c>
      <c r="D20" s="102">
        <f>(38648.7*1.10231)/1000</f>
        <v>42.602848496999989</v>
      </c>
      <c r="E20" s="102">
        <f t="shared" si="0"/>
        <v>5084.186848497</v>
      </c>
      <c r="F20" s="102"/>
      <c r="G20" s="102">
        <f t="shared" si="1"/>
        <v>3531.9827891890004</v>
      </c>
      <c r="H20" s="102">
        <f>(1017566.8*1.10231)/1000</f>
        <v>1121.6740593079999</v>
      </c>
      <c r="I20" s="102">
        <f t="shared" si="2"/>
        <v>4653.6568484970003</v>
      </c>
      <c r="J20" s="6">
        <v>430.53</v>
      </c>
      <c r="K20" s="84"/>
      <c r="M20" s="120"/>
      <c r="N20" s="120"/>
    </row>
    <row r="21" spans="1:14" ht="14.4">
      <c r="A21" s="15" t="s">
        <v>51</v>
      </c>
      <c r="B21" s="39">
        <f>J20</f>
        <v>430.53</v>
      </c>
      <c r="C21" s="6">
        <v>3963.0810000000001</v>
      </c>
      <c r="D21" s="102">
        <f>(54003.3*1.10231)/1000</f>
        <v>59.528377622999997</v>
      </c>
      <c r="E21" s="102">
        <f t="shared" si="0"/>
        <v>4453.1393776229997</v>
      </c>
      <c r="F21" s="102"/>
      <c r="G21" s="102">
        <f>I21-H21</f>
        <v>3097.4258477249996</v>
      </c>
      <c r="H21" s="102">
        <f>(909155.8*1.10231)/1000</f>
        <v>1002.1715298979999</v>
      </c>
      <c r="I21" s="102">
        <f>E21-J21</f>
        <v>4099.5973776229994</v>
      </c>
      <c r="J21" s="6">
        <v>353.54199999999997</v>
      </c>
      <c r="K21" s="84"/>
      <c r="M21" s="120"/>
      <c r="N21" s="120"/>
    </row>
    <row r="22" spans="1:14" ht="14.4">
      <c r="A22" s="15" t="s">
        <v>38</v>
      </c>
      <c r="B22" s="39">
        <f>J21</f>
        <v>353.54199999999997</v>
      </c>
      <c r="C22" s="6">
        <v>4368.8829999999998</v>
      </c>
      <c r="D22" s="102">
        <f>(70284.1*1.10231)/1000</f>
        <v>77.47486627100001</v>
      </c>
      <c r="E22" s="102">
        <f t="shared" si="0"/>
        <v>4799.8998662710001</v>
      </c>
      <c r="F22" s="102"/>
      <c r="G22" s="102">
        <f>I22-H22</f>
        <v>3105.8048662540004</v>
      </c>
      <c r="H22" s="102">
        <f>(1125640.7*1.10231)/1000</f>
        <v>1240.8050000169999</v>
      </c>
      <c r="I22" s="102">
        <f>E22-J22</f>
        <v>4346.6098662710001</v>
      </c>
      <c r="J22" s="6">
        <v>453.29</v>
      </c>
      <c r="K22" s="87"/>
      <c r="M22" s="120"/>
      <c r="N22" s="120"/>
    </row>
    <row r="23" spans="1:14" ht="14.4">
      <c r="A23" s="15" t="s">
        <v>29</v>
      </c>
      <c r="B23" s="39"/>
      <c r="C23" s="6">
        <f>SUM(C11:C22)</f>
        <v>54145.4</v>
      </c>
      <c r="D23" s="6">
        <f>(623493.3*1.10231)/1000</f>
        <v>687.28289952299997</v>
      </c>
      <c r="E23" s="6">
        <f>B11+C23+D23</f>
        <v>55203.573899523006</v>
      </c>
      <c r="F23" s="6"/>
      <c r="G23" s="6">
        <f>SUM(G11:G22)</f>
        <v>38642.947016567006</v>
      </c>
      <c r="H23" s="6">
        <f>(14612347.3*1.10231)/1000</f>
        <v>16107.336552262999</v>
      </c>
      <c r="I23" s="5">
        <f>SUM(I11:I22)</f>
        <v>54750.283899522998</v>
      </c>
      <c r="J23" s="6"/>
      <c r="K23" s="119"/>
      <c r="M23" s="120"/>
      <c r="N23" s="34"/>
    </row>
    <row r="24" spans="1:14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N24" s="34"/>
    </row>
    <row r="25" spans="1:14" ht="14.4">
      <c r="A25" s="30" t="s">
        <v>158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N25" s="34"/>
    </row>
    <row r="26" spans="1:14" ht="14.4">
      <c r="A26" s="15" t="s">
        <v>39</v>
      </c>
      <c r="B26" s="39">
        <f>J22</f>
        <v>453.29</v>
      </c>
      <c r="C26" s="6">
        <v>5088.8389999999999</v>
      </c>
      <c r="D26" s="102">
        <f>(42814.1*1.10231)/1000</f>
        <v>47.194410570999992</v>
      </c>
      <c r="E26" s="6">
        <f>SUM(B26:D26)</f>
        <v>5589.3234105709998</v>
      </c>
      <c r="F26" s="6"/>
      <c r="G26" s="6">
        <f>I26-H26</f>
        <v>3831.8400592099997</v>
      </c>
      <c r="H26" s="102">
        <f>(1284823.1*1.10231)/1000</f>
        <v>1416.2733513609999</v>
      </c>
      <c r="I26" s="102">
        <f>E26-J26</f>
        <v>5248.1134105709998</v>
      </c>
      <c r="J26" s="6">
        <v>341.21000000000004</v>
      </c>
      <c r="K26" s="84"/>
      <c r="N26" s="34"/>
    </row>
    <row r="27" spans="1:14" ht="16.2">
      <c r="A27" s="79" t="s">
        <v>68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14" ht="14.4">
      <c r="A28" s="15" t="s">
        <v>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4" ht="13.8">
      <c r="A29" s="20" t="s">
        <v>57</v>
      </c>
      <c r="B29" s="36">
        <f>Contents!A18</f>
        <v>45638</v>
      </c>
      <c r="C29" s="33"/>
      <c r="D29" s="28"/>
      <c r="E29" s="28"/>
      <c r="F29" s="28"/>
      <c r="G29" s="28"/>
      <c r="H29" s="28"/>
      <c r="I29" s="28"/>
      <c r="J29" s="28"/>
    </row>
    <row r="30" spans="1:14">
      <c r="B30" s="41"/>
      <c r="C30" s="42"/>
      <c r="D30" s="41"/>
      <c r="E30" s="81"/>
      <c r="F30" s="41"/>
      <c r="G30" s="41"/>
      <c r="H30" s="43"/>
      <c r="I30" s="81"/>
      <c r="J30" s="41"/>
    </row>
    <row r="31" spans="1:14">
      <c r="B31" s="41"/>
      <c r="C31" s="41"/>
      <c r="D31" s="41"/>
      <c r="E31" s="41"/>
      <c r="F31" s="41"/>
      <c r="G31" s="41"/>
      <c r="H31" s="41"/>
      <c r="I31" s="41"/>
      <c r="J31" s="41"/>
    </row>
    <row r="32" spans="1:14">
      <c r="G32" s="34"/>
    </row>
    <row r="33" spans="7:7">
      <c r="G33" s="90"/>
    </row>
  </sheetData>
  <mergeCells count="3">
    <mergeCell ref="G2:I2"/>
    <mergeCell ref="B5:J5"/>
    <mergeCell ref="B2:E2"/>
  </mergeCells>
  <phoneticPr fontId="53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1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33203125" defaultRowHeight="13.2"/>
  <cols>
    <col min="1" max="1" width="15.44140625" customWidth="1"/>
    <col min="2" max="2" width="12.44140625" bestFit="1" customWidth="1"/>
    <col min="3" max="3" width="12.3320312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3320312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97" t="s">
        <v>58</v>
      </c>
      <c r="C2" s="197"/>
      <c r="D2" s="197"/>
      <c r="E2" s="197"/>
      <c r="F2" s="15"/>
      <c r="G2" s="197" t="s">
        <v>59</v>
      </c>
      <c r="H2" s="197"/>
      <c r="I2" s="197"/>
      <c r="J2" s="144"/>
      <c r="K2" s="144"/>
      <c r="L2" s="15"/>
    </row>
    <row r="3" spans="1:20" ht="13.8">
      <c r="A3" s="15" t="s">
        <v>18</v>
      </c>
      <c r="B3" s="17" t="s">
        <v>70</v>
      </c>
      <c r="C3" s="17" t="s">
        <v>27</v>
      </c>
      <c r="D3" s="17" t="s">
        <v>71</v>
      </c>
      <c r="E3" s="17" t="s">
        <v>63</v>
      </c>
      <c r="F3" s="17"/>
      <c r="G3" s="144" t="s">
        <v>64</v>
      </c>
      <c r="H3" s="144"/>
      <c r="I3" s="144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99" t="s">
        <v>75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20" ht="16.2">
      <c r="A6" s="15" t="s">
        <v>76</v>
      </c>
      <c r="B6" s="38">
        <v>1991.1479999999999</v>
      </c>
      <c r="C6" s="38">
        <v>26227.309000000001</v>
      </c>
      <c r="D6" s="180">
        <v>375.55383030479999</v>
      </c>
      <c r="E6" s="38">
        <f>SUM(B6:D6)</f>
        <v>28594.010830304804</v>
      </c>
      <c r="F6" s="38"/>
      <c r="G6" s="38">
        <f>K6-J6</f>
        <v>26609.028920468605</v>
      </c>
      <c r="H6" s="38">
        <v>12510.33</v>
      </c>
      <c r="I6" s="118">
        <f>G6-H6</f>
        <v>14098.698920468605</v>
      </c>
      <c r="J6" s="38">
        <v>377.90990983619997</v>
      </c>
      <c r="K6" s="38">
        <f>E6-L6</f>
        <v>26986.938830304804</v>
      </c>
      <c r="L6" s="38">
        <v>1607.0719999999999</v>
      </c>
    </row>
    <row r="7" spans="1:20" ht="16.2">
      <c r="A7" s="15" t="s">
        <v>77</v>
      </c>
      <c r="B7" s="38">
        <f>L6</f>
        <v>1607.0719999999999</v>
      </c>
      <c r="C7" s="38">
        <f>C23</f>
        <v>27129.552000000003</v>
      </c>
      <c r="D7" s="180">
        <f>D23</f>
        <v>620.64231943139998</v>
      </c>
      <c r="E7" s="38">
        <f>SUM(B7:D7)</f>
        <v>29357.266319431405</v>
      </c>
      <c r="F7" s="38"/>
      <c r="G7" s="38">
        <f>K7-J7</f>
        <v>27239.645032409004</v>
      </c>
      <c r="H7" s="38">
        <v>12989.041999999999</v>
      </c>
      <c r="I7" s="118">
        <f>G7-H7</f>
        <v>14250.603032409004</v>
      </c>
      <c r="J7" s="38">
        <f>J23</f>
        <v>616.76328702240005</v>
      </c>
      <c r="K7" s="38">
        <f>E7-L7</f>
        <v>27856.408319431404</v>
      </c>
      <c r="L7" s="38">
        <f>L22</f>
        <v>1500.8579999999999</v>
      </c>
      <c r="M7" s="149"/>
      <c r="N7" s="149"/>
      <c r="O7" s="149"/>
      <c r="P7" s="149"/>
      <c r="Q7" s="149"/>
      <c r="R7" s="149"/>
      <c r="S7" s="149"/>
      <c r="T7" s="149"/>
    </row>
    <row r="8" spans="1:20" ht="16.2">
      <c r="A8" s="15" t="s">
        <v>37</v>
      </c>
      <c r="B8" s="38">
        <f>L7</f>
        <v>1500.8579999999999</v>
      </c>
      <c r="C8" s="38">
        <v>28605</v>
      </c>
      <c r="D8" s="180">
        <v>500</v>
      </c>
      <c r="E8" s="38">
        <f>SUM(B8:D8)</f>
        <v>30605.858</v>
      </c>
      <c r="F8" s="38"/>
      <c r="G8" s="38">
        <f>H8+I8</f>
        <v>28000</v>
      </c>
      <c r="H8" s="38">
        <v>14000</v>
      </c>
      <c r="I8" s="118">
        <v>14000</v>
      </c>
      <c r="J8" s="38">
        <v>1100</v>
      </c>
      <c r="K8" s="38">
        <f>G8+J8</f>
        <v>29100</v>
      </c>
      <c r="L8" s="38">
        <f>E8-K8</f>
        <v>1505.8580000000002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3.8">
      <c r="A10" s="30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3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28"/>
      <c r="N11" s="86"/>
      <c r="P11" s="34"/>
    </row>
    <row r="12" spans="1:20" ht="13.8">
      <c r="A12" s="15" t="s">
        <v>40</v>
      </c>
      <c r="B12" s="5"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3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28"/>
      <c r="N12" s="86"/>
      <c r="P12" s="34"/>
    </row>
    <row r="13" spans="1:20" ht="13.8">
      <c r="A13" s="15" t="s">
        <v>42</v>
      </c>
      <c r="B13" s="5"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2186.9834934009996</v>
      </c>
      <c r="H13" s="103">
        <v>1141.8820000000001</v>
      </c>
      <c r="I13" s="6">
        <f t="shared" si="2"/>
        <v>1045.1014934009995</v>
      </c>
      <c r="J13" s="6">
        <f>(5810.2*2204.622)/1000000</f>
        <v>12.809294744399999</v>
      </c>
      <c r="K13" s="6">
        <f t="shared" si="3"/>
        <v>2199.7927881453998</v>
      </c>
      <c r="L13" s="5">
        <v>1823.8340000000001</v>
      </c>
      <c r="M13" s="128"/>
      <c r="N13" s="86"/>
      <c r="P13" s="34"/>
    </row>
    <row r="14" spans="1:20" ht="13.8">
      <c r="A14" s="15" t="s">
        <v>43</v>
      </c>
      <c r="B14" s="5">
        <v>1823.8340000000001</v>
      </c>
      <c r="C14" s="6">
        <v>2288.5720000000001</v>
      </c>
      <c r="D14" s="6">
        <f>(22995*2204.622)/1000000</f>
        <v>50.695282889999994</v>
      </c>
      <c r="E14" s="6">
        <f t="shared" si="0"/>
        <v>4163.1012828900002</v>
      </c>
      <c r="F14" s="5"/>
      <c r="G14" s="5">
        <f t="shared" si="1"/>
        <v>2122.8299197475999</v>
      </c>
      <c r="H14" s="133">
        <v>960.20299999999997</v>
      </c>
      <c r="I14" s="6">
        <f t="shared" si="2"/>
        <v>1162.6269197475999</v>
      </c>
      <c r="J14" s="6">
        <f>(5219.2*2204.622)/1000000</f>
        <v>11.506363142399998</v>
      </c>
      <c r="K14" s="6">
        <f t="shared" si="3"/>
        <v>2134.3362828899999</v>
      </c>
      <c r="L14" s="5">
        <v>2028.7650000000001</v>
      </c>
      <c r="M14" s="128"/>
      <c r="N14" s="86"/>
      <c r="P14" s="34"/>
    </row>
    <row r="15" spans="1:20" ht="13.8">
      <c r="A15" s="15" t="s">
        <v>44</v>
      </c>
      <c r="B15" s="5">
        <v>2028.7650000000001</v>
      </c>
      <c r="C15" s="6">
        <v>2292.36</v>
      </c>
      <c r="D15" s="6">
        <f>(15950.7*2204.622)/1000000</f>
        <v>35.165264135399994</v>
      </c>
      <c r="E15" s="6">
        <f t="shared" si="0"/>
        <v>4356.2902641354003</v>
      </c>
      <c r="F15" s="5"/>
      <c r="G15" s="5">
        <f t="shared" si="1"/>
        <v>2193.7767908488004</v>
      </c>
      <c r="H15" s="133">
        <v>888.49</v>
      </c>
      <c r="I15" s="6">
        <f t="shared" si="2"/>
        <v>1305.2867908488004</v>
      </c>
      <c r="J15" s="6">
        <f>(6450.3*2204.622)/1000000</f>
        <v>14.220473286599999</v>
      </c>
      <c r="K15" s="6">
        <f t="shared" si="3"/>
        <v>2207.9972641354002</v>
      </c>
      <c r="L15" s="5">
        <v>2148.2930000000001</v>
      </c>
      <c r="M15" s="128"/>
      <c r="N15" s="86"/>
      <c r="P15" s="34"/>
    </row>
    <row r="16" spans="1:20" ht="13.8">
      <c r="A16" s="15" t="s">
        <v>46</v>
      </c>
      <c r="B16" s="5">
        <v>2148.2930000000001</v>
      </c>
      <c r="C16" s="6">
        <v>2405.5709999999999</v>
      </c>
      <c r="D16" s="6">
        <f>(22598.7*2204.622)/1000000</f>
        <v>49.821591191399996</v>
      </c>
      <c r="E16" s="6">
        <f t="shared" si="0"/>
        <v>4603.6855911913999</v>
      </c>
      <c r="F16" s="5"/>
      <c r="G16" s="5">
        <f t="shared" si="1"/>
        <v>2135.8192490381998</v>
      </c>
      <c r="H16" s="133">
        <v>1026.1990000000001</v>
      </c>
      <c r="I16" s="6">
        <f t="shared" si="2"/>
        <v>1109.6202490381997</v>
      </c>
      <c r="J16" s="6">
        <f>(44790.6*2204.622)/1000000</f>
        <v>98.74634215319999</v>
      </c>
      <c r="K16" s="6">
        <f t="shared" si="3"/>
        <v>2234.5655911914</v>
      </c>
      <c r="L16" s="5">
        <v>2369.12</v>
      </c>
      <c r="M16" s="128"/>
      <c r="N16" s="86"/>
      <c r="P16" s="34"/>
    </row>
    <row r="17" spans="1:16" ht="13.8">
      <c r="A17" s="15" t="s">
        <v>47</v>
      </c>
      <c r="B17" s="5">
        <v>2369.12</v>
      </c>
      <c r="C17" s="6">
        <v>2097.7559999999999</v>
      </c>
      <c r="D17" s="6">
        <f>(24996.9*2204.622)/1000000</f>
        <v>55.108715671800006</v>
      </c>
      <c r="E17" s="6">
        <f t="shared" si="0"/>
        <v>4521.9847156718006</v>
      </c>
      <c r="F17" s="5"/>
      <c r="G17" s="5">
        <f t="shared" si="1"/>
        <v>2188.2718875420005</v>
      </c>
      <c r="H17" s="133">
        <v>1070.029</v>
      </c>
      <c r="I17" s="6">
        <f t="shared" si="2"/>
        <v>1118.2428875420005</v>
      </c>
      <c r="J17" s="6">
        <f>(10135.9*2204.622)/1000000</f>
        <v>22.345828129800001</v>
      </c>
      <c r="K17" s="6">
        <f t="shared" si="3"/>
        <v>2210.6177156718004</v>
      </c>
      <c r="L17" s="5">
        <v>2311.3670000000002</v>
      </c>
      <c r="M17" s="128"/>
      <c r="N17" s="86"/>
      <c r="P17" s="34"/>
    </row>
    <row r="18" spans="1:16" ht="13.8">
      <c r="A18" s="15" t="s">
        <v>48</v>
      </c>
      <c r="B18" s="5">
        <v>2311.3670000000002</v>
      </c>
      <c r="C18" s="6">
        <v>2268.8420000000001</v>
      </c>
      <c r="D18" s="6">
        <f>(40370*2204.622)/1000000</f>
        <v>89.00059014</v>
      </c>
      <c r="E18" s="6">
        <f t="shared" si="0"/>
        <v>4669.2095901400007</v>
      </c>
      <c r="F18" s="5"/>
      <c r="G18" s="5">
        <f t="shared" si="1"/>
        <v>2387.1196363152008</v>
      </c>
      <c r="H18" s="133">
        <v>1076.011</v>
      </c>
      <c r="I18" s="6">
        <f t="shared" si="2"/>
        <v>1311.1086363152008</v>
      </c>
      <c r="J18" s="6">
        <f>(42508.4*2204.622)/1000000</f>
        <v>93.714953824800006</v>
      </c>
      <c r="K18" s="6">
        <f t="shared" si="3"/>
        <v>2480.8345901400007</v>
      </c>
      <c r="L18" s="5">
        <v>2188.375</v>
      </c>
      <c r="M18" s="128"/>
      <c r="N18" s="86"/>
      <c r="P18" s="34"/>
    </row>
    <row r="19" spans="1:16" ht="13.8">
      <c r="A19" s="15" t="s">
        <v>49</v>
      </c>
      <c r="B19" s="5">
        <v>2188.375</v>
      </c>
      <c r="C19" s="6">
        <v>2183.6149999999998</v>
      </c>
      <c r="D19" s="6">
        <f>(45970.5*2204.622)/1000000</f>
        <v>101.347575651</v>
      </c>
      <c r="E19" s="6">
        <f t="shared" si="0"/>
        <v>4473.3375756509995</v>
      </c>
      <c r="F19" s="5"/>
      <c r="G19" s="5">
        <f t="shared" si="1"/>
        <v>2232.7034918979998</v>
      </c>
      <c r="H19" s="133">
        <v>1266.837</v>
      </c>
      <c r="I19" s="6">
        <f t="shared" si="2"/>
        <v>965.86649189799982</v>
      </c>
      <c r="J19" s="6">
        <f>(52311.5*2204.622)/1000000</f>
        <v>115.327083753</v>
      </c>
      <c r="K19" s="6">
        <f t="shared" si="3"/>
        <v>2348.0305756509997</v>
      </c>
      <c r="L19" s="5">
        <v>2125.3069999999998</v>
      </c>
      <c r="M19" s="128"/>
      <c r="N19" s="86"/>
      <c r="P19" s="34"/>
    </row>
    <row r="20" spans="1:16" ht="13.8">
      <c r="A20" s="15" t="s">
        <v>50</v>
      </c>
      <c r="B20" s="5">
        <v>2125.3069999999998</v>
      </c>
      <c r="C20" s="6">
        <v>2303.0819999999999</v>
      </c>
      <c r="D20" s="6">
        <f>(33095.7*2204.622)/1000000</f>
        <v>72.963508325399999</v>
      </c>
      <c r="E20" s="6">
        <f t="shared" si="0"/>
        <v>4501.352508325399</v>
      </c>
      <c r="F20" s="5"/>
      <c r="G20" s="5">
        <f t="shared" si="1"/>
        <v>2395.743151496999</v>
      </c>
      <c r="H20" s="133">
        <v>1139.1510000000001</v>
      </c>
      <c r="I20" s="6">
        <f t="shared" si="2"/>
        <v>1256.5921514969989</v>
      </c>
      <c r="J20" s="6">
        <f>(44032.2*2204.622)/1000000</f>
        <v>97.074356828399985</v>
      </c>
      <c r="K20" s="6">
        <f t="shared" si="3"/>
        <v>2492.8175083253991</v>
      </c>
      <c r="L20" s="5">
        <v>2008.5350000000001</v>
      </c>
      <c r="M20" s="128"/>
      <c r="N20" s="86"/>
      <c r="P20" s="34"/>
    </row>
    <row r="21" spans="1:16" ht="13.8">
      <c r="A21" s="15" t="s">
        <v>51</v>
      </c>
      <c r="B21" s="5">
        <v>2008.5350000000001</v>
      </c>
      <c r="C21" s="100">
        <v>1991.846</v>
      </c>
      <c r="D21" s="6">
        <f>(6929.7*2204.622)/1000000</f>
        <v>15.277369073399997</v>
      </c>
      <c r="E21" s="6">
        <f t="shared" si="0"/>
        <v>4015.6583690734005</v>
      </c>
      <c r="F21" s="5"/>
      <c r="G21" s="5">
        <f t="shared" si="1"/>
        <v>2322.2227831694004</v>
      </c>
      <c r="H21" s="133">
        <v>1217.0319999999999</v>
      </c>
      <c r="I21" s="6">
        <f t="shared" si="2"/>
        <v>1105.1907831694004</v>
      </c>
      <c r="J21" s="6">
        <f>(29032*2204.622)/1000000</f>
        <v>64.004585903999995</v>
      </c>
      <c r="K21" s="6">
        <f t="shared" si="3"/>
        <v>2386.2273690734005</v>
      </c>
      <c r="L21" s="5">
        <v>1629.431</v>
      </c>
      <c r="M21" s="128"/>
      <c r="N21" s="86"/>
      <c r="P21" s="34"/>
    </row>
    <row r="22" spans="1:16" ht="13.8">
      <c r="A22" s="15" t="s">
        <v>38</v>
      </c>
      <c r="B22" s="5">
        <v>1629.431</v>
      </c>
      <c r="C22" s="100">
        <v>2221.3490000000002</v>
      </c>
      <c r="D22" s="6">
        <f>(9360.5*2204.622)/1000000</f>
        <v>20.636364230999998</v>
      </c>
      <c r="E22" s="6">
        <f t="shared" si="0"/>
        <v>3871.416364231</v>
      </c>
      <c r="F22" s="5"/>
      <c r="G22" s="5">
        <f t="shared" si="1"/>
        <v>2310.2033095858001</v>
      </c>
      <c r="H22" s="133">
        <v>1076.2909999999999</v>
      </c>
      <c r="I22" s="6">
        <f t="shared" si="2"/>
        <v>1233.9123095858001</v>
      </c>
      <c r="J22" s="6">
        <f>(27376.6*2204.622)/1000000</f>
        <v>60.355054645199992</v>
      </c>
      <c r="K22" s="6">
        <f t="shared" si="3"/>
        <v>2370.5583642310003</v>
      </c>
      <c r="L22" s="5">
        <v>1500.8579999999999</v>
      </c>
      <c r="M22" s="128"/>
      <c r="N22" s="86"/>
      <c r="P22" s="34"/>
    </row>
    <row r="23" spans="1:16" ht="13.8">
      <c r="A23" s="15" t="s">
        <v>29</v>
      </c>
      <c r="B23" s="5"/>
      <c r="C23" s="100">
        <f>SUM(C11:C22)</f>
        <v>27129.552000000003</v>
      </c>
      <c r="D23" s="6">
        <f>(281518.7*2204.622)/1000000</f>
        <v>620.64231943139998</v>
      </c>
      <c r="E23" s="6">
        <f>B11+C23+D23</f>
        <v>29357.266319431405</v>
      </c>
      <c r="F23" s="5"/>
      <c r="G23" s="5">
        <f>K23-J23</f>
        <v>27239.645252871196</v>
      </c>
      <c r="H23" s="133">
        <f>SUM(H11:H22)</f>
        <v>12989.041999999999</v>
      </c>
      <c r="I23" s="102">
        <f>G23-H23</f>
        <v>14250.603252871197</v>
      </c>
      <c r="J23" s="6">
        <f>(279759.2*2204.622)/1000000</f>
        <v>616.76328702240005</v>
      </c>
      <c r="K23" s="6">
        <f>SUM(K11:K22)</f>
        <v>27856.408539893597</v>
      </c>
      <c r="L23" s="5"/>
      <c r="P23" s="34"/>
    </row>
    <row r="24" spans="1:16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P24" s="34"/>
    </row>
    <row r="25" spans="1:16" ht="13.8">
      <c r="A25" s="30" t="s">
        <v>158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6" ht="13.8">
      <c r="A26" s="15" t="s">
        <v>39</v>
      </c>
      <c r="B26" s="5">
        <f>L22</f>
        <v>1500.8579999999999</v>
      </c>
      <c r="C26" s="6">
        <v>2569.453</v>
      </c>
      <c r="D26" s="6">
        <f>(13263.8*2204.622)/1000000</f>
        <v>29.241665283599996</v>
      </c>
      <c r="E26" s="6">
        <f>SUM(B26:D26)</f>
        <v>4099.5526652835997</v>
      </c>
      <c r="F26" s="5"/>
      <c r="G26" s="5">
        <f>K26-J26</f>
        <v>2591.4006039863998</v>
      </c>
      <c r="H26" s="179" t="s">
        <v>78</v>
      </c>
      <c r="I26" s="102" t="s">
        <v>78</v>
      </c>
      <c r="J26" s="6">
        <f>(10242.6*2204.622)/1000000</f>
        <v>22.581061297199998</v>
      </c>
      <c r="K26" s="6">
        <f>E26-L26</f>
        <v>2613.9816652835998</v>
      </c>
      <c r="L26" s="6">
        <v>1485.5709999999999</v>
      </c>
      <c r="N26" s="34"/>
      <c r="P26" s="34"/>
    </row>
    <row r="27" spans="1:16" ht="16.2">
      <c r="A27" s="79" t="s">
        <v>79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6" ht="14.4">
      <c r="A28" s="15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6" ht="13.8">
      <c r="A29" s="20" t="s">
        <v>57</v>
      </c>
      <c r="B29" s="36">
        <f>Contents!A18</f>
        <v>45638</v>
      </c>
      <c r="K29" s="34"/>
    </row>
    <row r="30" spans="1:16">
      <c r="E30" s="34"/>
    </row>
    <row r="31" spans="1:16">
      <c r="H31" s="90"/>
    </row>
  </sheetData>
  <mergeCells count="3">
    <mergeCell ref="B5:L5"/>
    <mergeCell ref="G2:I2"/>
    <mergeCell ref="B2:E2"/>
  </mergeCells>
  <phoneticPr fontId="53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33203125" defaultRowHeight="13.2"/>
  <cols>
    <col min="1" max="1" width="15.44140625" customWidth="1"/>
    <col min="2" max="2" width="13.33203125" customWidth="1"/>
    <col min="3" max="3" width="12.3320312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10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97" t="s">
        <v>58</v>
      </c>
      <c r="C2" s="197"/>
      <c r="D2" s="197"/>
      <c r="E2" s="197"/>
      <c r="F2" s="69"/>
      <c r="G2" s="197" t="s">
        <v>59</v>
      </c>
      <c r="H2" s="197"/>
      <c r="I2" s="197"/>
      <c r="J2" s="197"/>
      <c r="K2" s="69"/>
      <c r="L2" s="15"/>
      <c r="M2" s="15"/>
      <c r="N2" s="15"/>
      <c r="O2" s="15"/>
    </row>
    <row r="3" spans="1:15" ht="13.8">
      <c r="A3" s="15" t="s">
        <v>18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80</v>
      </c>
      <c r="B4" s="23" t="s">
        <v>81</v>
      </c>
      <c r="C4" s="55" t="s">
        <v>27</v>
      </c>
      <c r="D4" s="25" t="s">
        <v>71</v>
      </c>
      <c r="E4" s="23" t="s">
        <v>82</v>
      </c>
      <c r="F4" s="24"/>
      <c r="G4" s="23" t="s">
        <v>83</v>
      </c>
      <c r="H4" s="23" t="s">
        <v>31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">
      <c r="A5" s="15"/>
      <c r="B5" s="202" t="s">
        <v>86</v>
      </c>
      <c r="C5" s="202"/>
      <c r="D5" s="202"/>
      <c r="E5" s="202"/>
      <c r="F5" s="202"/>
      <c r="G5" s="202"/>
      <c r="H5" s="202"/>
      <c r="I5" s="202"/>
      <c r="J5" s="202"/>
      <c r="K5" s="202"/>
      <c r="L5" s="15"/>
      <c r="M5" s="15"/>
      <c r="N5" s="15"/>
      <c r="O5" s="15"/>
    </row>
    <row r="6" spans="1:15" ht="13.8">
      <c r="A6" s="15" t="s">
        <v>35</v>
      </c>
      <c r="B6" s="71">
        <v>395.42099999999999</v>
      </c>
      <c r="C6" s="71">
        <v>4415</v>
      </c>
      <c r="D6" s="122">
        <v>101.14</v>
      </c>
      <c r="E6" s="71">
        <f>B6+C6+D6</f>
        <v>4911.5610000000006</v>
      </c>
      <c r="F6" s="72"/>
      <c r="G6" s="71">
        <v>1389.82</v>
      </c>
      <c r="H6" s="123">
        <v>185.61</v>
      </c>
      <c r="I6" s="71">
        <f>J6-G6-H6</f>
        <v>2950.9960000000005</v>
      </c>
      <c r="J6" s="71">
        <f>E6-K6</f>
        <v>4526.4260000000004</v>
      </c>
      <c r="K6" s="124">
        <v>385.13499999999999</v>
      </c>
      <c r="L6" s="125"/>
      <c r="M6" s="125"/>
      <c r="N6" s="125"/>
      <c r="O6" s="15"/>
    </row>
    <row r="7" spans="1:15" ht="16.2">
      <c r="A7" s="15" t="s">
        <v>36</v>
      </c>
      <c r="B7" s="71">
        <f>K6</f>
        <v>385.13499999999999</v>
      </c>
      <c r="C7" s="71">
        <v>3644</v>
      </c>
      <c r="D7" s="122">
        <v>24.143999999999998</v>
      </c>
      <c r="E7" s="71">
        <f>B7+C7+D7</f>
        <v>4053.279</v>
      </c>
      <c r="F7" s="72"/>
      <c r="G7" s="71">
        <v>1371.923</v>
      </c>
      <c r="H7" s="123">
        <v>389.28699999999998</v>
      </c>
      <c r="I7" s="71">
        <v>1922</v>
      </c>
      <c r="J7" s="71">
        <f>SUM(G7:I7)</f>
        <v>3683.21</v>
      </c>
      <c r="K7" s="71">
        <f>E7-J7</f>
        <v>370.06899999999996</v>
      </c>
      <c r="L7" s="125"/>
      <c r="M7" s="15"/>
      <c r="N7" s="125"/>
      <c r="O7" s="15"/>
    </row>
    <row r="8" spans="1:15" ht="16.2">
      <c r="A8" s="14" t="s">
        <v>37</v>
      </c>
      <c r="B8" s="150">
        <f>K7</f>
        <v>370.06899999999996</v>
      </c>
      <c r="C8" s="150">
        <v>4352</v>
      </c>
      <c r="D8" s="151">
        <v>50</v>
      </c>
      <c r="E8" s="150">
        <f>B8+C8+D8</f>
        <v>4772.0689999999995</v>
      </c>
      <c r="F8" s="152"/>
      <c r="G8" s="150">
        <v>1400</v>
      </c>
      <c r="H8" s="153">
        <v>300</v>
      </c>
      <c r="I8" s="150">
        <v>2672</v>
      </c>
      <c r="J8" s="150">
        <f>SUM(G8:I8)</f>
        <v>4372</v>
      </c>
      <c r="K8" s="150">
        <f>E8-J8</f>
        <v>400.06899999999951</v>
      </c>
      <c r="L8" s="15"/>
      <c r="M8" s="15"/>
      <c r="N8" s="15"/>
      <c r="O8" s="15"/>
    </row>
    <row r="9" spans="1:15" ht="16.2">
      <c r="A9" s="40" t="s">
        <v>87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4">
      <c r="A10" s="15" t="s">
        <v>88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89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97" t="s">
        <v>58</v>
      </c>
      <c r="C15" s="197"/>
      <c r="D15" s="197"/>
      <c r="E15" s="197"/>
      <c r="F15" s="15"/>
      <c r="G15" s="197" t="s">
        <v>59</v>
      </c>
      <c r="H15" s="197"/>
      <c r="I15" s="197"/>
      <c r="J15" s="15"/>
      <c r="K15" s="15"/>
      <c r="L15" s="15"/>
      <c r="M15" s="15"/>
      <c r="N15" s="15"/>
      <c r="O15" s="15"/>
    </row>
    <row r="16" spans="1:15" ht="13.8">
      <c r="A16" s="15" t="s">
        <v>18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5" t="s">
        <v>27</v>
      </c>
      <c r="D17" s="25" t="s">
        <v>71</v>
      </c>
      <c r="E17" s="23" t="s">
        <v>85</v>
      </c>
      <c r="F17" s="24"/>
      <c r="G17" s="71" t="s">
        <v>90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202" t="s">
        <v>91</v>
      </c>
      <c r="C18" s="202"/>
      <c r="D18" s="202"/>
      <c r="E18" s="202"/>
      <c r="F18" s="202"/>
      <c r="G18" s="202"/>
      <c r="H18" s="202"/>
      <c r="I18" s="202"/>
      <c r="J18" s="202"/>
      <c r="K18" s="15"/>
      <c r="L18" s="15"/>
      <c r="M18" s="15"/>
      <c r="N18" s="15"/>
      <c r="O18" s="15"/>
    </row>
    <row r="19" spans="1:15" ht="13.8">
      <c r="A19" s="15" t="s">
        <v>35</v>
      </c>
      <c r="B19" s="71">
        <v>22.315999999999999</v>
      </c>
      <c r="C19" s="123">
        <v>589.51700000000005</v>
      </c>
      <c r="D19" s="122">
        <v>0</v>
      </c>
      <c r="E19" s="123">
        <f>B19+C19+D19</f>
        <v>611.83300000000008</v>
      </c>
      <c r="F19" s="72"/>
      <c r="G19" s="123">
        <f>E19-J19-H19</f>
        <v>526.202</v>
      </c>
      <c r="H19" s="123">
        <v>53.07</v>
      </c>
      <c r="I19" s="123">
        <f>SUM(G19:H19)</f>
        <v>579.27200000000005</v>
      </c>
      <c r="J19" s="71">
        <v>32.561</v>
      </c>
      <c r="K19" s="15"/>
      <c r="L19" s="125"/>
      <c r="M19" s="15"/>
      <c r="N19" s="15"/>
      <c r="O19" s="15"/>
    </row>
    <row r="20" spans="1:15" ht="16.2">
      <c r="A20" s="15" t="s">
        <v>36</v>
      </c>
      <c r="B20" s="71">
        <f>J19</f>
        <v>32.561</v>
      </c>
      <c r="C20" s="123">
        <v>568.43899999999996</v>
      </c>
      <c r="D20" s="122">
        <v>0.05</v>
      </c>
      <c r="E20" s="123">
        <f>B20+C20+D20</f>
        <v>601.04999999999995</v>
      </c>
      <c r="F20" s="72"/>
      <c r="G20" s="123">
        <f>E20-J20-H20</f>
        <v>515.82099999999991</v>
      </c>
      <c r="H20" s="123">
        <v>50.72</v>
      </c>
      <c r="I20" s="123">
        <f>SUM(G20:H20)</f>
        <v>566.54099999999994</v>
      </c>
      <c r="J20" s="71">
        <v>34.509</v>
      </c>
      <c r="K20" s="15"/>
      <c r="L20" s="125"/>
      <c r="M20" s="15"/>
      <c r="N20" s="15"/>
      <c r="O20" s="15"/>
    </row>
    <row r="21" spans="1:15" ht="16.2">
      <c r="A21" s="14" t="s">
        <v>37</v>
      </c>
      <c r="B21" s="150">
        <f>J20</f>
        <v>34.509</v>
      </c>
      <c r="C21" s="153">
        <v>615</v>
      </c>
      <c r="D21" s="151">
        <v>0</v>
      </c>
      <c r="E21" s="153">
        <f>B21+C21+D21</f>
        <v>649.50900000000001</v>
      </c>
      <c r="F21" s="152"/>
      <c r="G21" s="153">
        <v>550</v>
      </c>
      <c r="H21" s="153">
        <v>60</v>
      </c>
      <c r="I21" s="153">
        <f>SUM(G21:H21)</f>
        <v>610</v>
      </c>
      <c r="J21" s="150">
        <f>E21-I21</f>
        <v>39.509000000000015</v>
      </c>
      <c r="K21" s="15"/>
      <c r="L21" s="15"/>
      <c r="M21" s="15"/>
      <c r="N21" s="15"/>
      <c r="O21" s="15"/>
    </row>
    <row r="22" spans="1:15" ht="16.2">
      <c r="A22" s="40" t="s">
        <v>87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92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97" t="s">
        <v>58</v>
      </c>
      <c r="C27" s="197"/>
      <c r="D27" s="197"/>
      <c r="E27" s="197"/>
      <c r="F27" s="15"/>
      <c r="G27" s="197" t="s">
        <v>59</v>
      </c>
      <c r="H27" s="197"/>
      <c r="I27" s="197"/>
      <c r="J27" s="15"/>
      <c r="K27" s="15"/>
      <c r="L27" s="15"/>
      <c r="M27" s="15"/>
      <c r="N27" s="15"/>
      <c r="O27" s="15"/>
    </row>
    <row r="28" spans="1:15" ht="13.8">
      <c r="A28" s="15" t="s">
        <v>18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27</v>
      </c>
      <c r="D29" s="25" t="s">
        <v>71</v>
      </c>
      <c r="E29" s="23" t="s">
        <v>85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202" t="s">
        <v>75</v>
      </c>
      <c r="C30" s="202"/>
      <c r="D30" s="202"/>
      <c r="E30" s="202"/>
      <c r="F30" s="202"/>
      <c r="G30" s="202"/>
      <c r="H30" s="202"/>
      <c r="I30" s="202"/>
      <c r="J30" s="202"/>
      <c r="K30" s="15"/>
      <c r="L30" s="15"/>
      <c r="M30" s="15"/>
      <c r="N30" s="15"/>
      <c r="O30" s="15"/>
    </row>
    <row r="31" spans="1:15" ht="13.8">
      <c r="A31" s="15" t="s">
        <v>35</v>
      </c>
      <c r="B31" s="122">
        <v>49.698</v>
      </c>
      <c r="C31" s="123">
        <v>365.27800000000002</v>
      </c>
      <c r="D31" s="122">
        <v>15.945374023673997</v>
      </c>
      <c r="E31" s="126">
        <f>B31+C31+D31</f>
        <v>430.92137402367399</v>
      </c>
      <c r="F31" s="72"/>
      <c r="G31" s="123">
        <v>309.67673674592402</v>
      </c>
      <c r="H31" s="123">
        <v>71.126637277750007</v>
      </c>
      <c r="I31" s="123">
        <f>SUM(G31:H31)</f>
        <v>380.803374023674</v>
      </c>
      <c r="J31" s="123">
        <f>E31-I31</f>
        <v>50.117999999999995</v>
      </c>
      <c r="K31" s="15"/>
      <c r="L31" s="125"/>
      <c r="M31" s="15"/>
      <c r="N31" s="15"/>
      <c r="O31" s="15"/>
    </row>
    <row r="32" spans="1:15" ht="16.2">
      <c r="A32" s="15" t="s">
        <v>36</v>
      </c>
      <c r="B32" s="122">
        <f>J31</f>
        <v>50.117999999999995</v>
      </c>
      <c r="C32" s="123">
        <v>358.70499999999998</v>
      </c>
      <c r="D32" s="122">
        <v>1.9690000000000001</v>
      </c>
      <c r="E32" s="126">
        <f>B32+C32+D32</f>
        <v>410.79199999999997</v>
      </c>
      <c r="F32" s="72"/>
      <c r="G32" s="123">
        <v>338.37202418091601</v>
      </c>
      <c r="H32" s="123">
        <v>22.446000000000002</v>
      </c>
      <c r="I32" s="123">
        <f>SUM(G32:H32)</f>
        <v>360.81802418091604</v>
      </c>
      <c r="J32" s="123">
        <v>49.993000000000002</v>
      </c>
      <c r="K32" s="15"/>
      <c r="L32" s="15"/>
      <c r="M32" s="15"/>
      <c r="N32" s="15"/>
      <c r="O32" s="15"/>
    </row>
    <row r="33" spans="1:18" ht="16.2">
      <c r="A33" s="14" t="s">
        <v>37</v>
      </c>
      <c r="B33" s="151">
        <f>J32</f>
        <v>49.993000000000002</v>
      </c>
      <c r="C33" s="153">
        <v>375</v>
      </c>
      <c r="D33" s="151">
        <v>5</v>
      </c>
      <c r="E33" s="154">
        <f>B33+C33+D33</f>
        <v>429.99299999999999</v>
      </c>
      <c r="F33" s="152"/>
      <c r="G33" s="153">
        <v>330</v>
      </c>
      <c r="H33" s="153">
        <v>50</v>
      </c>
      <c r="I33" s="153">
        <f>SUM(G33:H33)</f>
        <v>380</v>
      </c>
      <c r="J33" s="153">
        <f>E33-I33</f>
        <v>49.992999999999995</v>
      </c>
      <c r="K33" s="15"/>
      <c r="L33" s="15"/>
      <c r="M33" s="15"/>
      <c r="N33" s="15"/>
      <c r="O33" s="15"/>
    </row>
    <row r="34" spans="1:18" ht="16.2">
      <c r="A34" s="40" t="s">
        <v>87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08"/>
    </row>
    <row r="35" spans="1:18" ht="14.4">
      <c r="A35" s="15" t="s">
        <v>92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8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197" t="s">
        <v>14</v>
      </c>
      <c r="C39" s="197"/>
      <c r="D39" s="17" t="s">
        <v>15</v>
      </c>
      <c r="E39" s="197" t="s">
        <v>16</v>
      </c>
      <c r="F39" s="197"/>
      <c r="G39" s="197"/>
      <c r="H39" s="197"/>
      <c r="I39" s="15"/>
      <c r="J39" s="197" t="s">
        <v>59</v>
      </c>
      <c r="K39" s="197"/>
      <c r="L39" s="197"/>
      <c r="M39" s="197"/>
      <c r="N39" s="197"/>
      <c r="O39" s="69"/>
    </row>
    <row r="40" spans="1:18" ht="13.8">
      <c r="A40" s="15" t="s">
        <v>18</v>
      </c>
      <c r="B40" s="17" t="s">
        <v>19</v>
      </c>
      <c r="C40" s="17" t="s">
        <v>20</v>
      </c>
      <c r="D40" s="15"/>
      <c r="E40" s="17" t="s">
        <v>70</v>
      </c>
      <c r="F40" s="17"/>
      <c r="G40" s="17"/>
      <c r="H40" s="17"/>
      <c r="I40" s="15"/>
      <c r="J40" s="52" t="s">
        <v>90</v>
      </c>
      <c r="K40" s="17"/>
      <c r="L40" s="17" t="s">
        <v>23</v>
      </c>
      <c r="M40" s="17"/>
      <c r="N40" s="17"/>
      <c r="O40" s="17" t="s">
        <v>60</v>
      </c>
    </row>
    <row r="41" spans="1:18" ht="13.8">
      <c r="A41" s="21" t="s">
        <v>80</v>
      </c>
      <c r="B41" s="22"/>
      <c r="C41" s="22"/>
      <c r="D41" s="22"/>
      <c r="E41" s="23" t="s">
        <v>62</v>
      </c>
      <c r="F41" s="23" t="s">
        <v>27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4">
      <c r="A42" s="15"/>
      <c r="B42" s="200" t="s">
        <v>94</v>
      </c>
      <c r="C42" s="201"/>
      <c r="D42" s="74" t="s">
        <v>95</v>
      </c>
      <c r="E42" s="203" t="s">
        <v>96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1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35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23">
        <v>103.13172545378339</v>
      </c>
      <c r="H44" s="71">
        <f>SUM(E44:G44)</f>
        <v>8005.1607254537839</v>
      </c>
      <c r="I44" s="71"/>
      <c r="J44" s="71">
        <v>3298.5</v>
      </c>
      <c r="K44" s="71">
        <v>794.70279860000005</v>
      </c>
      <c r="L44" s="123">
        <f>N44-J44-K44-M44</f>
        <v>681.75480869735929</v>
      </c>
      <c r="M44" s="123">
        <v>1197.1171181564243</v>
      </c>
      <c r="N44" s="71">
        <f>H44-O44</f>
        <v>5972.0747254537837</v>
      </c>
      <c r="O44" s="71">
        <v>2033.086</v>
      </c>
      <c r="P44" s="108"/>
      <c r="Q44" s="108"/>
    </row>
    <row r="45" spans="1:18" ht="16.2">
      <c r="A45" s="15" t="s">
        <v>36</v>
      </c>
      <c r="B45" s="71">
        <v>1645</v>
      </c>
      <c r="C45" s="71">
        <v>1557</v>
      </c>
      <c r="D45" s="71">
        <f>F45*1000/C45</f>
        <v>3774.9261400128453</v>
      </c>
      <c r="E45" s="71">
        <f>O44</f>
        <v>2033.086</v>
      </c>
      <c r="F45" s="71">
        <v>5877.56</v>
      </c>
      <c r="G45" s="123">
        <v>104.31366757849419</v>
      </c>
      <c r="H45" s="71">
        <f>SUM(E45:G45)</f>
        <v>8014.9596675784951</v>
      </c>
      <c r="I45" s="71"/>
      <c r="J45" s="71">
        <v>3123.4</v>
      </c>
      <c r="K45" s="71">
        <v>654.23564369999997</v>
      </c>
      <c r="L45" s="123">
        <f>N45-J45-K45-M45</f>
        <v>1301.3553895999737</v>
      </c>
      <c r="M45" s="123">
        <v>1455.3466342785212</v>
      </c>
      <c r="N45" s="71">
        <f>H45-O45</f>
        <v>6534.3376675784948</v>
      </c>
      <c r="O45" s="71">
        <f>1480.622</f>
        <v>1480.6220000000001</v>
      </c>
      <c r="P45" s="108"/>
      <c r="Q45" s="108"/>
    </row>
    <row r="46" spans="1:18" ht="16.2">
      <c r="A46" s="14" t="s">
        <v>37</v>
      </c>
      <c r="B46" s="150">
        <v>1805</v>
      </c>
      <c r="C46" s="150">
        <v>1749</v>
      </c>
      <c r="D46" s="150">
        <f>F46*1000/C46</f>
        <v>3723.4419668381934</v>
      </c>
      <c r="E46" s="150">
        <f>O45</f>
        <v>1480.6220000000001</v>
      </c>
      <c r="F46" s="150">
        <v>6512.3</v>
      </c>
      <c r="G46" s="153">
        <v>100</v>
      </c>
      <c r="H46" s="150">
        <f>SUM(E46:G46)</f>
        <v>8092.9220000000005</v>
      </c>
      <c r="I46" s="150"/>
      <c r="J46" s="150">
        <v>3159.473</v>
      </c>
      <c r="K46" s="150">
        <v>800</v>
      </c>
      <c r="L46" s="153">
        <v>1287.5</v>
      </c>
      <c r="M46" s="153">
        <v>1200</v>
      </c>
      <c r="N46" s="150">
        <f>SUM(J46:M46)</f>
        <v>6446.973</v>
      </c>
      <c r="O46" s="150">
        <f>H46-N46</f>
        <v>1645.9490000000005</v>
      </c>
      <c r="P46" s="108"/>
      <c r="Q46" s="108"/>
    </row>
    <row r="47" spans="1:18" ht="16.2">
      <c r="A47" s="40" t="s">
        <v>87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5">
        <f>Contents!A18</f>
        <v>45638</v>
      </c>
      <c r="C50" s="15"/>
      <c r="D50" s="15"/>
      <c r="E50" s="15"/>
      <c r="F50" s="15"/>
      <c r="G50" s="15"/>
      <c r="H50" s="15"/>
      <c r="I50" s="15"/>
      <c r="J50" s="125"/>
      <c r="K50" s="15"/>
      <c r="L50" s="15"/>
      <c r="M50" s="15"/>
      <c r="N50" s="15"/>
      <c r="O50" s="15"/>
    </row>
    <row r="51" spans="1:15" ht="44.7" customHeight="1">
      <c r="A51" s="76"/>
      <c r="B51" s="77"/>
      <c r="C51" s="77"/>
      <c r="D51" s="77"/>
      <c r="E51" s="77"/>
      <c r="F51" s="77"/>
      <c r="G51" s="77"/>
      <c r="H51" s="77"/>
      <c r="I51" s="77"/>
      <c r="J51" s="89"/>
      <c r="K51" s="77"/>
      <c r="L51" s="77"/>
      <c r="M51" s="77"/>
      <c r="N51" s="77"/>
      <c r="O51" s="77"/>
    </row>
    <row r="52" spans="1:15" ht="15.6">
      <c r="G52" s="60"/>
      <c r="H52" s="60"/>
    </row>
    <row r="53" spans="1:15" ht="15.6">
      <c r="G53" s="60"/>
      <c r="H53" s="60"/>
    </row>
    <row r="54" spans="1:15" ht="15.6">
      <c r="G54" s="60"/>
      <c r="H54" s="60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53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1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2" width="18.6640625" bestFit="1" customWidth="1"/>
    <col min="3" max="3" width="22.33203125" bestFit="1" customWidth="1"/>
    <col min="4" max="4" width="23.6640625" customWidth="1"/>
    <col min="5" max="5" width="25.44140625" customWidth="1"/>
    <col min="6" max="6" width="16.5546875" bestFit="1" customWidth="1"/>
    <col min="7" max="7" width="18.664062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106</v>
      </c>
      <c r="C4" s="46" t="s">
        <v>107</v>
      </c>
      <c r="D4" s="46" t="s">
        <v>108</v>
      </c>
      <c r="E4" s="46" t="s">
        <v>108</v>
      </c>
      <c r="F4" s="46" t="s">
        <v>109</v>
      </c>
      <c r="G4" s="46" t="s">
        <v>106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110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3.8">
      <c r="A7" s="15" t="s">
        <v>111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3.8">
      <c r="A8" s="15" t="s">
        <v>112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3.8">
      <c r="A9" s="15" t="s">
        <v>113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3.8">
      <c r="A10" s="15" t="s">
        <v>114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3.8">
      <c r="A11" s="15" t="s">
        <v>115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3.8">
      <c r="A12" s="15" t="s">
        <v>116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3.8">
      <c r="A13" s="15" t="s">
        <v>117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3.8">
      <c r="A14" s="15" t="s">
        <v>118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3.8">
      <c r="A15" s="15" t="s">
        <v>119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3.8">
      <c r="A16" s="15" t="s">
        <v>120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3.8">
      <c r="A17" s="15" t="s">
        <v>121</v>
      </c>
      <c r="B17" s="47">
        <v>13.3</v>
      </c>
      <c r="C17" s="47">
        <v>243</v>
      </c>
      <c r="D17" s="91">
        <v>32.9</v>
      </c>
      <c r="E17" s="47">
        <v>32.9</v>
      </c>
      <c r="F17" s="47">
        <v>24.3</v>
      </c>
      <c r="G17" s="47">
        <v>25.9</v>
      </c>
      <c r="J17" s="61"/>
    </row>
    <row r="18" spans="1:10" ht="13.8">
      <c r="A18" s="15" t="s">
        <v>35</v>
      </c>
      <c r="B18" s="47">
        <v>14.2</v>
      </c>
      <c r="C18" s="91">
        <v>306</v>
      </c>
      <c r="D18" s="47">
        <v>27.8</v>
      </c>
      <c r="E18" s="47">
        <v>29.8</v>
      </c>
      <c r="F18" s="47">
        <v>26.8</v>
      </c>
      <c r="G18" s="91">
        <v>17.5</v>
      </c>
      <c r="H18" s="101"/>
      <c r="J18" s="61"/>
    </row>
    <row r="19" spans="1:10" ht="16.2">
      <c r="A19" s="15" t="s">
        <v>122</v>
      </c>
      <c r="B19" s="47">
        <v>12.4</v>
      </c>
      <c r="C19" s="47">
        <v>223</v>
      </c>
      <c r="D19" s="91">
        <v>21.2</v>
      </c>
      <c r="E19" s="47">
        <v>24.3</v>
      </c>
      <c r="F19" s="47">
        <v>26.9</v>
      </c>
      <c r="G19" s="91">
        <v>12.1</v>
      </c>
      <c r="H19" s="101"/>
      <c r="J19" s="61"/>
    </row>
    <row r="20" spans="1:10" ht="16.2">
      <c r="A20" s="15" t="s">
        <v>123</v>
      </c>
      <c r="B20" s="47">
        <v>10.199999999999999</v>
      </c>
      <c r="C20" s="47">
        <v>220</v>
      </c>
      <c r="D20" s="91">
        <v>19.75</v>
      </c>
      <c r="E20" s="47">
        <v>20.3</v>
      </c>
      <c r="F20" s="47">
        <v>26.5</v>
      </c>
      <c r="G20" s="91">
        <v>13</v>
      </c>
      <c r="H20" s="101"/>
      <c r="J20" s="61"/>
    </row>
    <row r="21" spans="1:10" ht="13.8">
      <c r="A21" s="15"/>
      <c r="B21" s="127"/>
      <c r="C21" s="48"/>
      <c r="D21" s="49"/>
      <c r="E21" s="49"/>
      <c r="F21" s="48"/>
      <c r="G21" s="50"/>
      <c r="H21" s="41"/>
      <c r="J21" s="61"/>
    </row>
    <row r="22" spans="1:10" ht="13.8">
      <c r="A22" s="51" t="s">
        <v>53</v>
      </c>
      <c r="B22" s="47"/>
      <c r="C22" s="47"/>
      <c r="D22" s="47"/>
      <c r="E22" s="131"/>
      <c r="F22" s="47"/>
      <c r="G22" s="131"/>
    </row>
    <row r="23" spans="1:10" ht="13.8">
      <c r="A23" s="15" t="s">
        <v>38</v>
      </c>
      <c r="B23" s="47">
        <v>13.2</v>
      </c>
      <c r="C23" s="47">
        <v>242</v>
      </c>
      <c r="D23" s="47">
        <v>24.2</v>
      </c>
      <c r="E23" s="131">
        <v>25</v>
      </c>
      <c r="F23" s="47">
        <v>26.9</v>
      </c>
      <c r="G23" s="131">
        <v>12</v>
      </c>
    </row>
    <row r="24" spans="1:10" ht="13.8">
      <c r="A24" s="15" t="s">
        <v>39</v>
      </c>
      <c r="B24" s="47">
        <v>12.7</v>
      </c>
      <c r="C24" s="47">
        <v>233</v>
      </c>
      <c r="D24" s="47">
        <v>20</v>
      </c>
      <c r="E24" s="131">
        <v>23.7</v>
      </c>
      <c r="F24" s="47">
        <v>26.7</v>
      </c>
      <c r="G24" s="131">
        <v>13</v>
      </c>
    </row>
    <row r="25" spans="1:10" ht="13.8">
      <c r="A25" s="15" t="s">
        <v>40</v>
      </c>
      <c r="B25" s="47">
        <v>13</v>
      </c>
      <c r="C25" s="47">
        <v>227</v>
      </c>
      <c r="D25" s="47">
        <v>22.6</v>
      </c>
      <c r="E25" s="131">
        <v>25.6</v>
      </c>
      <c r="F25" s="47">
        <v>29.4</v>
      </c>
      <c r="G25" s="131">
        <v>12.2</v>
      </c>
    </row>
    <row r="26" spans="1:10" ht="13.8">
      <c r="A26" s="15" t="s">
        <v>42</v>
      </c>
      <c r="B26" s="47">
        <v>13.1</v>
      </c>
      <c r="C26" s="47">
        <v>209</v>
      </c>
      <c r="D26" s="47">
        <v>24</v>
      </c>
      <c r="E26" s="131">
        <v>23.9</v>
      </c>
      <c r="F26" s="47">
        <v>23.7</v>
      </c>
      <c r="G26" s="131">
        <v>13.4</v>
      </c>
    </row>
    <row r="27" spans="1:10" ht="13.8">
      <c r="A27" s="15" t="s">
        <v>43</v>
      </c>
      <c r="B27" s="47">
        <v>12.8</v>
      </c>
      <c r="C27" s="47">
        <v>174</v>
      </c>
      <c r="D27" s="47">
        <v>21.4</v>
      </c>
      <c r="E27" s="131">
        <v>24.4</v>
      </c>
      <c r="F27" s="47">
        <v>27.1</v>
      </c>
      <c r="G27" s="131">
        <v>12.1</v>
      </c>
    </row>
    <row r="28" spans="1:10" ht="13.8">
      <c r="A28" s="15" t="s">
        <v>44</v>
      </c>
      <c r="B28" s="47">
        <v>11.9</v>
      </c>
      <c r="C28" s="47">
        <v>177</v>
      </c>
      <c r="D28" s="47">
        <v>22.4</v>
      </c>
      <c r="E28" s="131">
        <v>22.8</v>
      </c>
      <c r="F28" s="47">
        <v>26.4</v>
      </c>
      <c r="G28" s="131">
        <v>12.3</v>
      </c>
    </row>
    <row r="29" spans="1:10" ht="13.8">
      <c r="A29" s="15" t="s">
        <v>46</v>
      </c>
      <c r="B29" s="47">
        <v>11.8</v>
      </c>
      <c r="C29" s="47" t="s">
        <v>78</v>
      </c>
      <c r="D29" s="47">
        <v>22.5</v>
      </c>
      <c r="E29" s="131">
        <v>21.6</v>
      </c>
      <c r="F29" s="47">
        <v>27</v>
      </c>
      <c r="G29" s="131">
        <v>11.5</v>
      </c>
    </row>
    <row r="30" spans="1:10" ht="13.8">
      <c r="A30" s="15" t="s">
        <v>47</v>
      </c>
      <c r="B30" s="47">
        <v>11.8</v>
      </c>
      <c r="C30" s="47" t="s">
        <v>78</v>
      </c>
      <c r="D30" s="47">
        <v>20</v>
      </c>
      <c r="E30" s="131">
        <v>21.9</v>
      </c>
      <c r="F30" s="47">
        <v>27.2</v>
      </c>
      <c r="G30" s="131">
        <v>12.1</v>
      </c>
    </row>
    <row r="31" spans="1:10" ht="13.8">
      <c r="A31" s="15" t="s">
        <v>48</v>
      </c>
      <c r="B31" s="47">
        <v>11.9</v>
      </c>
      <c r="C31" s="47" t="s">
        <v>78</v>
      </c>
      <c r="D31" s="47">
        <v>23</v>
      </c>
      <c r="E31" s="131">
        <v>25.1</v>
      </c>
      <c r="F31" s="47">
        <v>26.7</v>
      </c>
      <c r="G31" s="131">
        <v>12.2</v>
      </c>
    </row>
    <row r="32" spans="1:10" ht="13.8">
      <c r="A32" s="132" t="s">
        <v>49</v>
      </c>
      <c r="B32" s="131">
        <v>11.8</v>
      </c>
      <c r="C32" s="131" t="s">
        <v>78</v>
      </c>
      <c r="D32" s="47">
        <v>17</v>
      </c>
      <c r="E32" s="131">
        <v>20.6</v>
      </c>
      <c r="F32" s="131">
        <v>26.2</v>
      </c>
      <c r="G32" s="131">
        <v>12</v>
      </c>
    </row>
    <row r="33" spans="1:12" ht="13.8">
      <c r="A33" s="15" t="s">
        <v>50</v>
      </c>
      <c r="B33" s="47">
        <v>11.3</v>
      </c>
      <c r="C33" s="47" t="s">
        <v>78</v>
      </c>
      <c r="D33" s="47">
        <v>20.9</v>
      </c>
      <c r="E33" s="47">
        <v>20.3</v>
      </c>
      <c r="F33" s="47">
        <v>27.3</v>
      </c>
      <c r="G33" s="47">
        <v>12.2</v>
      </c>
    </row>
    <row r="34" spans="1:12" ht="13.8">
      <c r="A34" s="15" t="s">
        <v>51</v>
      </c>
      <c r="B34" s="47">
        <v>10.3</v>
      </c>
      <c r="C34" s="47">
        <v>226</v>
      </c>
      <c r="D34" s="47">
        <v>18</v>
      </c>
      <c r="E34" s="47">
        <v>20</v>
      </c>
      <c r="F34" s="47">
        <v>26.8</v>
      </c>
      <c r="G34" s="47">
        <v>12</v>
      </c>
    </row>
    <row r="35" spans="1:12" ht="13.8">
      <c r="A35" s="15"/>
      <c r="B35" s="47"/>
      <c r="C35" s="47"/>
      <c r="D35" s="47"/>
      <c r="E35" s="131"/>
      <c r="F35" s="47"/>
      <c r="G35" s="131"/>
    </row>
    <row r="36" spans="1:12" ht="13.8">
      <c r="A36" s="51" t="s">
        <v>158</v>
      </c>
      <c r="B36" s="47"/>
      <c r="C36" s="47"/>
      <c r="D36" s="47"/>
      <c r="E36" s="131"/>
      <c r="F36" s="47"/>
      <c r="G36" s="131"/>
    </row>
    <row r="37" spans="1:12" ht="13.8">
      <c r="A37" s="15" t="s">
        <v>38</v>
      </c>
      <c r="B37" s="47">
        <v>10.199999999999999</v>
      </c>
      <c r="C37" s="47">
        <v>229</v>
      </c>
      <c r="D37" s="47">
        <v>18.2</v>
      </c>
      <c r="E37" s="47">
        <v>19</v>
      </c>
      <c r="F37" s="47">
        <v>26.7</v>
      </c>
      <c r="G37" s="47">
        <v>12</v>
      </c>
      <c r="L37" s="61"/>
    </row>
    <row r="38" spans="1:12" ht="13.8">
      <c r="A38" s="15" t="s">
        <v>39</v>
      </c>
      <c r="B38" s="47">
        <v>9.91</v>
      </c>
      <c r="C38" s="47">
        <v>223</v>
      </c>
      <c r="D38" s="47">
        <v>21</v>
      </c>
      <c r="E38" s="47">
        <v>20.3</v>
      </c>
      <c r="F38" s="47">
        <v>26</v>
      </c>
      <c r="G38" s="47">
        <v>11.9</v>
      </c>
      <c r="L38" s="61"/>
    </row>
    <row r="39" spans="1:12" ht="16.2">
      <c r="A39" s="69" t="s">
        <v>124</v>
      </c>
      <c r="B39" s="69"/>
      <c r="C39" s="69"/>
      <c r="D39" s="69"/>
      <c r="E39" s="69"/>
      <c r="F39" s="69"/>
      <c r="G39" s="69"/>
    </row>
    <row r="40" spans="1:12" ht="14.4">
      <c r="A40" s="15" t="s">
        <v>125</v>
      </c>
      <c r="B40" s="15"/>
      <c r="C40" s="15"/>
      <c r="D40" s="15"/>
      <c r="E40" s="15"/>
      <c r="F40" s="15"/>
      <c r="G40" s="15"/>
    </row>
    <row r="41" spans="1:12" ht="13.8">
      <c r="A41" s="20" t="s">
        <v>57</v>
      </c>
      <c r="B41" s="36">
        <f>Contents!A18</f>
        <v>45638</v>
      </c>
      <c r="C41" s="15"/>
      <c r="D41" s="15"/>
      <c r="E41" s="15"/>
      <c r="F41" s="15"/>
      <c r="G41" s="15"/>
    </row>
  </sheetData>
  <phoneticPr fontId="53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2"/>
  <sheetViews>
    <sheetView showGridLines="0" zoomScale="70" zoomScaleNormal="70" workbookViewId="0">
      <pane xSplit="1" ySplit="4" topLeftCell="B10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2" width="11.5546875" customWidth="1"/>
    <col min="3" max="3" width="12.33203125" bestFit="1" customWidth="1"/>
    <col min="4" max="4" width="13.5546875" customWidth="1"/>
    <col min="5" max="5" width="11.5546875" customWidth="1"/>
    <col min="6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98</v>
      </c>
      <c r="B2" s="17" t="s">
        <v>126</v>
      </c>
      <c r="C2" s="17" t="s">
        <v>127</v>
      </c>
      <c r="D2" s="17" t="s">
        <v>128</v>
      </c>
      <c r="E2" s="53" t="s">
        <v>129</v>
      </c>
      <c r="F2" s="53" t="s">
        <v>130</v>
      </c>
      <c r="G2" s="17" t="s">
        <v>131</v>
      </c>
      <c r="H2" s="17" t="s">
        <v>132</v>
      </c>
      <c r="I2" s="54" t="s">
        <v>133</v>
      </c>
      <c r="K2" s="17"/>
      <c r="L2" s="17"/>
    </row>
    <row r="3" spans="1:13" ht="15.6" customHeight="1">
      <c r="A3" s="55" t="s">
        <v>105</v>
      </c>
      <c r="B3" s="23" t="s">
        <v>134</v>
      </c>
      <c r="C3" s="23" t="s">
        <v>135</v>
      </c>
      <c r="D3" s="23" t="s">
        <v>136</v>
      </c>
      <c r="E3" s="23" t="s">
        <v>136</v>
      </c>
      <c r="F3" s="23" t="s">
        <v>137</v>
      </c>
      <c r="G3" s="23" t="s">
        <v>138</v>
      </c>
      <c r="H3" s="23"/>
      <c r="I3" s="23" t="s">
        <v>139</v>
      </c>
    </row>
    <row r="4" spans="1:13" ht="14.4">
      <c r="A4" s="56" t="s">
        <v>140</v>
      </c>
      <c r="C4" s="57"/>
      <c r="D4" s="57"/>
      <c r="E4" s="57"/>
      <c r="F4" s="57"/>
      <c r="G4" s="57"/>
      <c r="H4" s="57"/>
      <c r="I4" s="57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3.8">
      <c r="A6" s="15" t="s">
        <v>110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61"/>
      <c r="L6" s="61"/>
      <c r="M6" s="61"/>
    </row>
    <row r="7" spans="1:13" ht="13.8">
      <c r="A7" s="15" t="s">
        <v>111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61"/>
      <c r="L7" s="61"/>
      <c r="M7" s="61"/>
    </row>
    <row r="8" spans="1:13" ht="13.8">
      <c r="A8" s="15" t="s">
        <v>112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61"/>
      <c r="L8" s="61"/>
      <c r="M8" s="61"/>
    </row>
    <row r="9" spans="1:13" ht="13.8">
      <c r="A9" s="15" t="s">
        <v>113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61"/>
      <c r="L9" s="61"/>
      <c r="M9" s="61"/>
    </row>
    <row r="10" spans="1:13" ht="13.8">
      <c r="A10" s="15" t="s">
        <v>114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61"/>
      <c r="L10" s="61"/>
      <c r="M10" s="61"/>
    </row>
    <row r="11" spans="1:13" ht="13.8">
      <c r="A11" s="15" t="s">
        <v>115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61"/>
      <c r="L11" s="61"/>
      <c r="M11" s="61"/>
    </row>
    <row r="12" spans="1:13" ht="13.8">
      <c r="A12" s="15" t="s">
        <v>116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61"/>
      <c r="L12" s="61"/>
      <c r="M12" s="61"/>
    </row>
    <row r="13" spans="1:13" ht="13.8">
      <c r="A13" s="15" t="s">
        <v>117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61"/>
      <c r="L13" s="61"/>
      <c r="M13" s="61"/>
    </row>
    <row r="14" spans="1:13" ht="13.8">
      <c r="A14" s="15" t="s">
        <v>118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61"/>
      <c r="L14" s="61"/>
      <c r="M14" s="61"/>
    </row>
    <row r="15" spans="1:13" ht="13.8">
      <c r="A15" s="15" t="s">
        <v>119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62</v>
      </c>
      <c r="G15" s="47">
        <v>39.47</v>
      </c>
      <c r="H15" s="47">
        <v>35.75</v>
      </c>
      <c r="I15" s="47">
        <v>38.369999999999997</v>
      </c>
      <c r="K15" s="61"/>
      <c r="L15" s="61"/>
      <c r="M15" s="61"/>
    </row>
    <row r="16" spans="1:13" ht="13.8">
      <c r="A16" s="15" t="s">
        <v>120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101.4</v>
      </c>
      <c r="G16" s="47">
        <v>53.88</v>
      </c>
      <c r="H16" s="47">
        <v>55.89</v>
      </c>
      <c r="I16" s="47">
        <v>54.98</v>
      </c>
      <c r="K16" s="61"/>
      <c r="L16" s="61"/>
      <c r="M16" s="61"/>
    </row>
    <row r="17" spans="1:13" ht="13.8">
      <c r="A17" s="15" t="s">
        <v>121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107.22</v>
      </c>
      <c r="G17" s="47">
        <v>64.28</v>
      </c>
      <c r="H17" s="47">
        <v>82</v>
      </c>
      <c r="I17" s="47">
        <v>81.84</v>
      </c>
      <c r="K17" s="61"/>
      <c r="L17" s="61"/>
      <c r="M17" s="61"/>
    </row>
    <row r="18" spans="1:13" ht="13.8">
      <c r="A18" s="15" t="s">
        <v>35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93.52</v>
      </c>
      <c r="G18" s="47">
        <v>61.62</v>
      </c>
      <c r="H18" s="47">
        <v>84.25</v>
      </c>
      <c r="I18" s="47">
        <v>76.95</v>
      </c>
      <c r="K18" s="61"/>
      <c r="L18" s="61"/>
      <c r="M18" s="61"/>
    </row>
    <row r="19" spans="1:13" ht="16.2">
      <c r="A19" s="15" t="s">
        <v>141</v>
      </c>
      <c r="B19" s="47">
        <v>47.28</v>
      </c>
      <c r="C19" s="47">
        <v>78.94</v>
      </c>
      <c r="D19" s="47">
        <v>58.65</v>
      </c>
      <c r="E19" s="47">
        <v>55.48</v>
      </c>
      <c r="F19" s="91">
        <v>77.94</v>
      </c>
      <c r="G19" s="47" t="s">
        <v>78</v>
      </c>
      <c r="H19" s="47">
        <v>55.041249999999998</v>
      </c>
      <c r="I19" s="47">
        <v>53.968000000000004</v>
      </c>
      <c r="K19" s="61"/>
      <c r="L19" s="61"/>
      <c r="M19" s="61"/>
    </row>
    <row r="20" spans="1:13" ht="16.2">
      <c r="A20" s="15" t="s">
        <v>142</v>
      </c>
      <c r="B20" s="47">
        <v>43</v>
      </c>
      <c r="C20" s="47">
        <v>75</v>
      </c>
      <c r="D20" s="47">
        <v>63</v>
      </c>
      <c r="E20" s="47">
        <v>50</v>
      </c>
      <c r="F20" s="91">
        <v>76</v>
      </c>
      <c r="G20" s="91" t="s">
        <v>78</v>
      </c>
      <c r="H20" s="91">
        <v>51</v>
      </c>
      <c r="I20" s="91">
        <v>46</v>
      </c>
      <c r="K20" s="61"/>
      <c r="L20" s="61"/>
      <c r="M20" s="61"/>
    </row>
    <row r="21" spans="1:13" ht="13.8">
      <c r="A21" s="15"/>
      <c r="B21" s="134"/>
      <c r="C21" s="134"/>
      <c r="D21" s="134"/>
      <c r="E21" s="134"/>
      <c r="F21" s="135"/>
      <c r="G21" s="134"/>
      <c r="H21" s="134"/>
      <c r="I21" s="134"/>
    </row>
    <row r="22" spans="1:13" ht="13.8">
      <c r="A22" s="30" t="s">
        <v>53</v>
      </c>
      <c r="B22" s="47"/>
      <c r="C22" s="47"/>
      <c r="D22" s="47"/>
      <c r="E22" s="47"/>
      <c r="F22" s="47"/>
      <c r="G22" s="47"/>
      <c r="H22" s="47"/>
      <c r="I22" s="47"/>
    </row>
    <row r="23" spans="1:13" ht="13.8">
      <c r="A23" s="15" t="s">
        <v>39</v>
      </c>
      <c r="B23" s="47">
        <v>56.599999999999994</v>
      </c>
      <c r="C23" s="47">
        <v>92</v>
      </c>
      <c r="D23" s="47">
        <v>64.75</v>
      </c>
      <c r="E23" s="47">
        <v>65.1875</v>
      </c>
      <c r="F23" s="47">
        <v>83.25</v>
      </c>
      <c r="G23" s="47" t="s">
        <v>78</v>
      </c>
      <c r="H23" s="91">
        <v>90</v>
      </c>
      <c r="I23" s="47">
        <v>65.17</v>
      </c>
      <c r="K23" s="61"/>
      <c r="M23" s="61"/>
    </row>
    <row r="24" spans="1:13" ht="13.8">
      <c r="A24" s="15" t="s">
        <v>40</v>
      </c>
      <c r="B24" s="47">
        <v>53.39</v>
      </c>
      <c r="C24" s="47">
        <v>86.38</v>
      </c>
      <c r="D24" s="47">
        <v>62.25</v>
      </c>
      <c r="E24" s="47">
        <v>61.63</v>
      </c>
      <c r="F24" s="47">
        <v>81.5</v>
      </c>
      <c r="G24" s="47" t="s">
        <v>78</v>
      </c>
      <c r="H24" s="91" t="s">
        <v>78</v>
      </c>
      <c r="I24" s="47">
        <v>57.024999999999999</v>
      </c>
      <c r="K24" s="61"/>
      <c r="M24" s="61"/>
    </row>
    <row r="25" spans="1:13" ht="13.8">
      <c r="A25" s="15" t="s">
        <v>42</v>
      </c>
      <c r="B25" s="47">
        <v>52.33</v>
      </c>
      <c r="C25" s="47">
        <v>83.1</v>
      </c>
      <c r="D25" s="47">
        <v>58.6</v>
      </c>
      <c r="E25" s="47">
        <v>59.45</v>
      </c>
      <c r="F25" s="47">
        <v>77.8</v>
      </c>
      <c r="G25" s="47" t="s">
        <v>78</v>
      </c>
      <c r="H25" s="91">
        <v>65</v>
      </c>
      <c r="I25" s="47">
        <v>50.67</v>
      </c>
      <c r="K25" s="61"/>
      <c r="M25" s="61"/>
    </row>
    <row r="26" spans="1:13" ht="13.8">
      <c r="A26" s="15" t="s">
        <v>43</v>
      </c>
      <c r="B26" s="47">
        <v>49.1</v>
      </c>
      <c r="C26" s="47">
        <v>79.5</v>
      </c>
      <c r="D26" s="47">
        <v>58.13</v>
      </c>
      <c r="E26" s="47">
        <v>57.25</v>
      </c>
      <c r="F26" s="47">
        <v>76.5</v>
      </c>
      <c r="G26" s="47" t="s">
        <v>78</v>
      </c>
      <c r="H26" s="91" t="s">
        <v>78</v>
      </c>
      <c r="I26" s="47" t="s">
        <v>78</v>
      </c>
      <c r="K26" s="61"/>
      <c r="M26" s="61"/>
    </row>
    <row r="27" spans="1:13" ht="13.8">
      <c r="A27" s="15" t="s">
        <v>44</v>
      </c>
      <c r="B27" s="47">
        <v>47.33</v>
      </c>
      <c r="C27" s="47">
        <v>76.5</v>
      </c>
      <c r="D27" s="47">
        <v>57.38</v>
      </c>
      <c r="E27" s="47">
        <v>53.06</v>
      </c>
      <c r="F27" s="47">
        <v>76.75</v>
      </c>
      <c r="G27" s="47" t="s">
        <v>78</v>
      </c>
      <c r="H27" s="91">
        <v>45.33</v>
      </c>
      <c r="I27" s="47">
        <v>52.5</v>
      </c>
      <c r="K27" s="61"/>
      <c r="M27" s="61"/>
    </row>
    <row r="28" spans="1:13" ht="13.8">
      <c r="A28" s="15" t="s">
        <v>46</v>
      </c>
      <c r="B28" s="47">
        <v>46.57</v>
      </c>
      <c r="C28" s="47">
        <v>79.95</v>
      </c>
      <c r="D28" s="47">
        <v>57.45</v>
      </c>
      <c r="E28" s="47">
        <v>55.55</v>
      </c>
      <c r="F28" s="47">
        <v>76</v>
      </c>
      <c r="G28" s="47" t="s">
        <v>78</v>
      </c>
      <c r="H28" s="91" t="s">
        <v>78</v>
      </c>
      <c r="I28" s="47">
        <v>52</v>
      </c>
      <c r="K28" s="61"/>
      <c r="M28" s="61"/>
    </row>
    <row r="29" spans="1:13" ht="13.8">
      <c r="A29" s="15" t="s">
        <v>47</v>
      </c>
      <c r="B29" s="47">
        <v>45.1325</v>
      </c>
      <c r="C29" s="47">
        <v>77.25</v>
      </c>
      <c r="D29" s="47">
        <v>56.06</v>
      </c>
      <c r="E29" s="47">
        <v>54.38</v>
      </c>
      <c r="F29" s="47">
        <v>75.13</v>
      </c>
      <c r="G29" s="47" t="s">
        <v>78</v>
      </c>
      <c r="H29" s="91">
        <v>41</v>
      </c>
      <c r="I29" s="47">
        <v>52.17</v>
      </c>
      <c r="K29" s="61"/>
      <c r="M29" s="61"/>
    </row>
    <row r="30" spans="1:13" ht="13.8">
      <c r="A30" s="15" t="s">
        <v>48</v>
      </c>
      <c r="B30" s="47">
        <v>43.302</v>
      </c>
      <c r="C30" s="47">
        <v>74.55</v>
      </c>
      <c r="D30" s="47">
        <v>54.6</v>
      </c>
      <c r="E30" s="47">
        <v>52.75</v>
      </c>
      <c r="F30" s="47">
        <v>73.8</v>
      </c>
      <c r="G30" s="47" t="s">
        <v>78</v>
      </c>
      <c r="H30" s="91">
        <v>42</v>
      </c>
      <c r="I30" s="47">
        <v>48.875</v>
      </c>
      <c r="K30" s="61"/>
      <c r="M30" s="61"/>
    </row>
    <row r="31" spans="1:13" ht="13.8">
      <c r="A31" s="15" t="s">
        <v>49</v>
      </c>
      <c r="B31" s="47">
        <v>42.51</v>
      </c>
      <c r="C31" s="47">
        <v>74.38</v>
      </c>
      <c r="D31" s="47">
        <v>58.88</v>
      </c>
      <c r="E31" s="47">
        <v>51.31</v>
      </c>
      <c r="F31" s="47">
        <v>77.5</v>
      </c>
      <c r="G31" s="47" t="s">
        <v>78</v>
      </c>
      <c r="H31" s="91">
        <v>46</v>
      </c>
      <c r="I31" s="47">
        <v>54.1</v>
      </c>
      <c r="K31" s="61"/>
      <c r="M31" s="61"/>
    </row>
    <row r="32" spans="1:13" ht="13.8">
      <c r="A32" s="15" t="s">
        <v>50</v>
      </c>
      <c r="B32" s="47">
        <v>45.57</v>
      </c>
      <c r="C32" s="47">
        <v>77.94</v>
      </c>
      <c r="D32" s="47">
        <v>59.69</v>
      </c>
      <c r="E32" s="47">
        <v>54.75</v>
      </c>
      <c r="F32" s="47">
        <v>79</v>
      </c>
      <c r="G32" s="47" t="s">
        <v>78</v>
      </c>
      <c r="H32" s="91">
        <v>55</v>
      </c>
      <c r="I32" s="91">
        <v>54.5</v>
      </c>
      <c r="K32" s="61"/>
      <c r="M32" s="61"/>
    </row>
    <row r="33" spans="1:13" ht="13.8">
      <c r="A33" s="15" t="s">
        <v>51</v>
      </c>
      <c r="B33" s="47">
        <v>42.51</v>
      </c>
      <c r="C33" s="47">
        <v>72.95</v>
      </c>
      <c r="D33" s="47">
        <v>58.1</v>
      </c>
      <c r="E33" s="47">
        <v>51.05</v>
      </c>
      <c r="F33" s="47">
        <v>78.8</v>
      </c>
      <c r="G33" s="47" t="s">
        <v>78</v>
      </c>
      <c r="H33" s="91">
        <v>56</v>
      </c>
      <c r="I33" s="91">
        <v>52.67</v>
      </c>
      <c r="K33" s="61"/>
      <c r="M33" s="61"/>
    </row>
    <row r="34" spans="1:13" ht="13.8">
      <c r="A34" s="15" t="s">
        <v>38</v>
      </c>
      <c r="B34" s="47">
        <v>43.04</v>
      </c>
      <c r="C34" s="47">
        <v>72.75</v>
      </c>
      <c r="D34" s="47">
        <v>57.9375</v>
      </c>
      <c r="E34" s="47">
        <v>49.4375</v>
      </c>
      <c r="F34" s="47">
        <v>79.25</v>
      </c>
      <c r="G34" s="47" t="s">
        <v>78</v>
      </c>
      <c r="H34" s="91" t="s">
        <v>78</v>
      </c>
      <c r="I34" s="91" t="s">
        <v>78</v>
      </c>
      <c r="K34" s="61"/>
      <c r="M34" s="61"/>
    </row>
    <row r="35" spans="1:13" ht="13.8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3.8">
      <c r="A36" s="30" t="s">
        <v>158</v>
      </c>
      <c r="B36" s="47"/>
      <c r="C36" s="47"/>
      <c r="D36" s="47"/>
      <c r="E36" s="47"/>
      <c r="F36" s="47"/>
      <c r="G36" s="47"/>
      <c r="H36" s="47"/>
      <c r="I36" s="47"/>
      <c r="J36" s="101"/>
      <c r="K36" s="61"/>
      <c r="M36" s="61"/>
    </row>
    <row r="37" spans="1:13" ht="13.8">
      <c r="A37" s="15" t="s">
        <v>39</v>
      </c>
      <c r="B37" s="47">
        <v>44.3</v>
      </c>
      <c r="C37" s="47">
        <v>75.06</v>
      </c>
      <c r="D37" s="47">
        <v>59.5</v>
      </c>
      <c r="E37" s="47">
        <v>50.69</v>
      </c>
      <c r="F37" s="47">
        <v>79.13</v>
      </c>
      <c r="G37" s="47" t="s">
        <v>78</v>
      </c>
      <c r="H37" s="91" t="s">
        <v>78</v>
      </c>
      <c r="I37" s="47">
        <v>49.625</v>
      </c>
      <c r="J37" s="147"/>
      <c r="K37" s="61"/>
      <c r="M37" s="61"/>
    </row>
    <row r="38" spans="1:13" ht="13.8">
      <c r="A38" s="15" t="s">
        <v>40</v>
      </c>
      <c r="B38" s="47">
        <v>45.604999999999997</v>
      </c>
      <c r="C38" s="47">
        <v>76.349999999999994</v>
      </c>
      <c r="D38" s="47">
        <v>59.7</v>
      </c>
      <c r="E38" s="47">
        <v>51.45</v>
      </c>
      <c r="F38" s="47">
        <v>78.2</v>
      </c>
      <c r="G38" s="47" t="s">
        <v>78</v>
      </c>
      <c r="H38" s="91" t="s">
        <v>78</v>
      </c>
      <c r="I38" s="47" t="s">
        <v>78</v>
      </c>
      <c r="J38" s="147"/>
      <c r="K38" s="61"/>
      <c r="M38" s="61"/>
    </row>
    <row r="39" spans="1:13" ht="16.2">
      <c r="A39" s="79" t="s">
        <v>143</v>
      </c>
      <c r="B39" s="109"/>
      <c r="C39" s="109"/>
      <c r="D39" s="109"/>
      <c r="E39" s="109"/>
      <c r="F39" s="109"/>
      <c r="G39" s="109"/>
      <c r="H39" s="109"/>
      <c r="I39" s="110"/>
    </row>
    <row r="40" spans="1:13" ht="16.2">
      <c r="A40" s="15" t="s">
        <v>144</v>
      </c>
      <c r="B40" s="59"/>
      <c r="C40" s="59"/>
      <c r="D40" s="59"/>
      <c r="E40" s="59"/>
      <c r="F40" s="59"/>
      <c r="G40" s="59"/>
      <c r="H40" s="59"/>
      <c r="I40" s="59"/>
    </row>
    <row r="41" spans="1:13" ht="14.4">
      <c r="A41" s="15" t="s">
        <v>145</v>
      </c>
      <c r="B41" s="15"/>
      <c r="C41" s="15"/>
      <c r="D41" s="15"/>
      <c r="E41" s="15"/>
      <c r="F41" s="59"/>
      <c r="G41" s="15"/>
      <c r="H41" s="15"/>
      <c r="I41" s="15"/>
    </row>
    <row r="42" spans="1:13" ht="13.8">
      <c r="A42" s="20" t="s">
        <v>57</v>
      </c>
      <c r="B42" s="36">
        <f>Contents!A18</f>
        <v>45638</v>
      </c>
      <c r="C42" s="15"/>
      <c r="D42" s="15"/>
      <c r="E42" s="15"/>
      <c r="F42" s="15"/>
      <c r="G42" s="15"/>
      <c r="H42" s="15"/>
      <c r="I42" s="15"/>
    </row>
    <row r="43" spans="1:13" ht="15.6">
      <c r="C43" s="60"/>
      <c r="G43" s="60"/>
      <c r="H43" s="60"/>
      <c r="I43" s="60"/>
    </row>
    <row r="44" spans="1:13" ht="15.6">
      <c r="B44" s="61"/>
      <c r="C44" s="61"/>
      <c r="D44" s="61"/>
      <c r="E44" s="61"/>
      <c r="F44" s="61"/>
      <c r="G44" s="61"/>
      <c r="H44" s="60"/>
      <c r="I44" s="60"/>
    </row>
    <row r="45" spans="1:13" ht="15.6">
      <c r="B45" s="85"/>
      <c r="C45" s="85"/>
      <c r="D45" s="85"/>
      <c r="E45" s="85"/>
      <c r="F45" s="85"/>
      <c r="G45" s="85"/>
      <c r="H45" s="60"/>
      <c r="I45" s="60"/>
    </row>
    <row r="46" spans="1:13" ht="15.6">
      <c r="C46" s="60"/>
      <c r="G46" s="60"/>
      <c r="H46" s="60"/>
      <c r="I46" s="60"/>
    </row>
    <row r="47" spans="1:13" ht="15.6">
      <c r="C47" s="60"/>
      <c r="G47" s="60"/>
      <c r="H47" s="60"/>
      <c r="I47" s="60"/>
    </row>
    <row r="48" spans="1:13" ht="15.6">
      <c r="C48" s="60"/>
      <c r="G48" s="60"/>
      <c r="H48" s="60"/>
      <c r="I48" s="60"/>
    </row>
    <row r="49" spans="3:9" ht="15.6">
      <c r="C49" s="60"/>
      <c r="G49" s="60"/>
      <c r="H49" s="60"/>
      <c r="I49" s="60"/>
    </row>
    <row r="50" spans="3:9" ht="15.6">
      <c r="C50" s="60"/>
      <c r="G50" s="60"/>
      <c r="H50" s="60"/>
      <c r="I50" s="60"/>
    </row>
    <row r="51" spans="3:9" ht="15.6">
      <c r="C51" s="60"/>
      <c r="G51" s="60"/>
      <c r="H51" s="60"/>
      <c r="I51" s="60"/>
    </row>
    <row r="52" spans="3:9" ht="15.6">
      <c r="C52" s="60"/>
      <c r="G52" s="60"/>
      <c r="H52" s="60"/>
      <c r="I52" s="60"/>
    </row>
    <row r="53" spans="3:9" ht="15.6">
      <c r="C53" s="60"/>
      <c r="G53" s="60"/>
      <c r="H53" s="60"/>
      <c r="I53" s="60"/>
    </row>
    <row r="54" spans="3:9" ht="15.6">
      <c r="C54" s="60"/>
      <c r="G54" s="60"/>
      <c r="H54" s="60"/>
      <c r="I54" s="60"/>
    </row>
    <row r="55" spans="3:9" ht="15.6">
      <c r="C55" s="60"/>
      <c r="G55" s="60"/>
      <c r="H55" s="60"/>
      <c r="I55" s="60"/>
    </row>
    <row r="56" spans="3:9" ht="15.6">
      <c r="C56" s="60"/>
      <c r="G56" s="60"/>
      <c r="H56" s="60"/>
      <c r="I56" s="60"/>
    </row>
    <row r="57" spans="3:9" ht="15.6">
      <c r="C57" s="60"/>
      <c r="G57" s="60"/>
      <c r="H57" s="60"/>
      <c r="I57" s="60"/>
    </row>
    <row r="58" spans="3:9" ht="15.6">
      <c r="C58" s="60"/>
      <c r="G58" s="60"/>
      <c r="H58" s="60"/>
      <c r="I58" s="60"/>
    </row>
    <row r="59" spans="3:9" ht="15.6">
      <c r="C59" s="60"/>
      <c r="H59" s="60"/>
      <c r="I59" s="60"/>
    </row>
    <row r="60" spans="3:9" ht="15.6">
      <c r="C60" s="60"/>
      <c r="H60" s="60"/>
      <c r="I60" s="60"/>
    </row>
    <row r="61" spans="3:9" ht="15.6">
      <c r="C61" s="60"/>
      <c r="F61" s="61"/>
      <c r="H61" s="60"/>
      <c r="I61" s="60"/>
    </row>
    <row r="62" spans="3:9" ht="15.6">
      <c r="F62" s="61"/>
      <c r="H62" s="60"/>
      <c r="I62" s="60"/>
    </row>
  </sheetData>
  <phoneticPr fontId="53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2"/>
  <sheetViews>
    <sheetView showGridLines="0" zoomScale="70" zoomScaleNormal="70" workbookViewId="0">
      <pane xSplit="1" ySplit="4" topLeftCell="B10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664062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126</v>
      </c>
      <c r="C2" s="62" t="s">
        <v>127</v>
      </c>
      <c r="D2" s="62" t="s">
        <v>128</v>
      </c>
      <c r="E2" s="62" t="s">
        <v>130</v>
      </c>
      <c r="F2" s="17" t="s">
        <v>146</v>
      </c>
      <c r="G2" s="17" t="s">
        <v>147</v>
      </c>
      <c r="AB2" s="63"/>
    </row>
    <row r="3" spans="1:28" ht="15.6" customHeight="1">
      <c r="A3" s="14" t="s">
        <v>105</v>
      </c>
      <c r="B3" s="23" t="s">
        <v>148</v>
      </c>
      <c r="C3" s="23" t="s">
        <v>149</v>
      </c>
      <c r="D3" s="23" t="s">
        <v>150</v>
      </c>
      <c r="E3" s="23" t="s">
        <v>151</v>
      </c>
      <c r="F3" s="23" t="s">
        <v>152</v>
      </c>
      <c r="G3" s="23" t="s">
        <v>153</v>
      </c>
      <c r="AB3" s="63"/>
    </row>
    <row r="4" spans="1:28" ht="14.4">
      <c r="A4" s="56" t="s">
        <v>154</v>
      </c>
      <c r="C4" s="57"/>
      <c r="D4" s="57"/>
      <c r="E4" s="57"/>
      <c r="F4" s="57"/>
      <c r="G4" s="57"/>
      <c r="AB4" s="63"/>
    </row>
    <row r="5" spans="1:28" ht="13.8">
      <c r="A5" s="15"/>
      <c r="B5" s="15"/>
      <c r="C5" s="15"/>
      <c r="D5" s="15"/>
      <c r="E5" s="15"/>
      <c r="F5" s="15"/>
      <c r="G5" s="15"/>
      <c r="AB5" s="63"/>
    </row>
    <row r="6" spans="1:28" ht="13.8">
      <c r="A6" s="15" t="s">
        <v>110</v>
      </c>
      <c r="B6" s="58">
        <v>345.52</v>
      </c>
      <c r="C6" s="58">
        <v>273.83999999999997</v>
      </c>
      <c r="D6" s="58">
        <v>219.72</v>
      </c>
      <c r="E6" s="50" t="s">
        <v>78</v>
      </c>
      <c r="F6" s="58">
        <v>263.63</v>
      </c>
      <c r="G6" s="58">
        <v>240.65</v>
      </c>
      <c r="H6" s="61"/>
      <c r="I6" s="61"/>
      <c r="J6" s="61"/>
      <c r="AB6" s="63"/>
    </row>
    <row r="7" spans="1:28" ht="13.8">
      <c r="A7" s="15" t="s">
        <v>111</v>
      </c>
      <c r="B7" s="58">
        <v>393.53</v>
      </c>
      <c r="C7" s="58">
        <v>275.13</v>
      </c>
      <c r="D7" s="58">
        <v>246.75</v>
      </c>
      <c r="E7" s="50" t="s">
        <v>78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3.8">
      <c r="A8" s="15" t="s">
        <v>112</v>
      </c>
      <c r="B8" s="58">
        <v>468.11</v>
      </c>
      <c r="C8" s="58">
        <v>331.52</v>
      </c>
      <c r="D8" s="58">
        <v>241.57</v>
      </c>
      <c r="E8" s="50" t="s">
        <v>78</v>
      </c>
      <c r="F8" s="58">
        <v>354.22</v>
      </c>
      <c r="G8" s="58">
        <v>329.31</v>
      </c>
      <c r="H8" s="61"/>
      <c r="I8" s="61"/>
      <c r="J8" s="61"/>
      <c r="AB8" s="63"/>
    </row>
    <row r="9" spans="1:28" ht="13.8">
      <c r="A9" s="15" t="s">
        <v>113</v>
      </c>
      <c r="B9" s="58">
        <v>489.94</v>
      </c>
      <c r="C9" s="58">
        <v>377.71</v>
      </c>
      <c r="D9" s="58">
        <v>238.87</v>
      </c>
      <c r="E9" s="50" t="s">
        <v>78</v>
      </c>
      <c r="F9" s="58">
        <v>359.7</v>
      </c>
      <c r="G9" s="58">
        <v>337.23</v>
      </c>
      <c r="H9" s="61"/>
      <c r="I9" s="61"/>
      <c r="J9" s="61"/>
      <c r="AB9" s="63"/>
    </row>
    <row r="10" spans="1:28" ht="13.8">
      <c r="A10" s="15" t="s">
        <v>114</v>
      </c>
      <c r="B10" s="58">
        <v>368.49</v>
      </c>
      <c r="C10" s="58">
        <v>304.27</v>
      </c>
      <c r="D10" s="58">
        <v>209.97</v>
      </c>
      <c r="E10" s="50" t="s">
        <v>78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3.8">
      <c r="A11" s="15" t="s">
        <v>115</v>
      </c>
      <c r="B11" s="58">
        <v>324.56</v>
      </c>
      <c r="C11" s="58">
        <v>261.19</v>
      </c>
      <c r="D11" s="58">
        <v>153.16999999999999</v>
      </c>
      <c r="E11" s="50" t="s">
        <v>78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3.8">
      <c r="A12" s="15" t="s">
        <v>116</v>
      </c>
      <c r="B12" s="58">
        <v>316.88</v>
      </c>
      <c r="C12" s="58">
        <v>208.61</v>
      </c>
      <c r="D12" s="58">
        <v>145.1</v>
      </c>
      <c r="E12" s="50" t="s">
        <v>78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3.8">
      <c r="A13" s="15" t="s">
        <v>117</v>
      </c>
      <c r="B13" s="58">
        <v>345.02</v>
      </c>
      <c r="C13" s="58">
        <v>260.88</v>
      </c>
      <c r="D13" s="58">
        <v>173.53</v>
      </c>
      <c r="E13" s="50" t="s">
        <v>78</v>
      </c>
      <c r="F13" s="58">
        <v>291.14999999999998</v>
      </c>
      <c r="G13" s="58">
        <v>239.15</v>
      </c>
      <c r="H13" s="61"/>
      <c r="I13" s="61"/>
      <c r="J13" s="61"/>
    </row>
    <row r="14" spans="1:28" ht="13.8">
      <c r="A14" s="15" t="s">
        <v>118</v>
      </c>
      <c r="B14" s="58">
        <v>308.27999999999997</v>
      </c>
      <c r="C14" s="58">
        <v>228.64</v>
      </c>
      <c r="D14" s="58">
        <v>164.16</v>
      </c>
      <c r="E14" s="50" t="s">
        <v>78</v>
      </c>
      <c r="F14" s="58">
        <v>272.38</v>
      </c>
      <c r="G14" s="58">
        <v>225.77</v>
      </c>
      <c r="H14" s="61"/>
      <c r="I14" s="61"/>
      <c r="J14" s="61"/>
    </row>
    <row r="15" spans="1:28" ht="13.8">
      <c r="A15" s="15" t="s">
        <v>119</v>
      </c>
      <c r="B15" s="58">
        <v>299.5</v>
      </c>
      <c r="C15" s="58">
        <v>247.04</v>
      </c>
      <c r="D15" s="58">
        <v>187.7</v>
      </c>
      <c r="E15" s="50" t="s">
        <v>78</v>
      </c>
      <c r="F15" s="58">
        <v>273.99</v>
      </c>
      <c r="G15" s="58">
        <v>245.88</v>
      </c>
      <c r="H15" s="61"/>
      <c r="I15" s="61"/>
      <c r="J15" s="61"/>
    </row>
    <row r="16" spans="1:28" ht="13.8">
      <c r="A16" s="15" t="s">
        <v>120</v>
      </c>
      <c r="B16" s="58">
        <v>392.31</v>
      </c>
      <c r="C16" s="58">
        <v>375.51</v>
      </c>
      <c r="D16" s="88">
        <v>246.22</v>
      </c>
      <c r="E16" s="50" t="s">
        <v>78</v>
      </c>
      <c r="F16" s="58">
        <v>351.87</v>
      </c>
      <c r="G16" s="58">
        <v>288.12</v>
      </c>
      <c r="H16" s="61"/>
      <c r="I16" s="61"/>
      <c r="J16" s="61"/>
    </row>
    <row r="17" spans="1:13" ht="13.8">
      <c r="A17" s="15" t="s">
        <v>121</v>
      </c>
      <c r="B17" s="58">
        <v>439.81</v>
      </c>
      <c r="C17" s="58">
        <v>355.33</v>
      </c>
      <c r="D17" s="58">
        <v>279.98</v>
      </c>
      <c r="E17" s="50" t="s">
        <v>78</v>
      </c>
      <c r="F17" s="58">
        <v>439.1</v>
      </c>
      <c r="G17" s="58">
        <v>332.21</v>
      </c>
      <c r="H17" s="61"/>
      <c r="I17" s="61"/>
      <c r="J17" s="61"/>
    </row>
    <row r="18" spans="1:13" ht="13.8">
      <c r="A18" s="15" t="s">
        <v>35</v>
      </c>
      <c r="B18" s="58">
        <v>451.91</v>
      </c>
      <c r="C18" s="58">
        <v>379.13</v>
      </c>
      <c r="D18" s="58">
        <v>244.34</v>
      </c>
      <c r="E18" s="50" t="s">
        <v>78</v>
      </c>
      <c r="F18" s="58">
        <v>431.34</v>
      </c>
      <c r="G18" s="88">
        <v>359.06</v>
      </c>
      <c r="H18" s="61"/>
      <c r="I18" s="61"/>
      <c r="J18" s="61"/>
    </row>
    <row r="19" spans="1:13" ht="16.2">
      <c r="A19" s="15" t="s">
        <v>141</v>
      </c>
      <c r="B19" s="58">
        <v>384.11</v>
      </c>
      <c r="C19" s="58">
        <v>343.08</v>
      </c>
      <c r="D19" s="58">
        <v>194.19</v>
      </c>
      <c r="E19" s="50" t="s">
        <v>78</v>
      </c>
      <c r="F19" s="58">
        <v>378.28</v>
      </c>
      <c r="G19" s="88">
        <v>297.39368181818185</v>
      </c>
      <c r="H19" s="61"/>
      <c r="I19" s="61"/>
      <c r="J19" s="61"/>
    </row>
    <row r="20" spans="1:13" ht="16.2">
      <c r="A20" s="15" t="s">
        <v>142</v>
      </c>
      <c r="B20" s="58">
        <v>300</v>
      </c>
      <c r="C20" s="58">
        <v>300</v>
      </c>
      <c r="D20" s="58">
        <v>175</v>
      </c>
      <c r="E20" s="50" t="s">
        <v>78</v>
      </c>
      <c r="F20" s="58">
        <v>265</v>
      </c>
      <c r="G20" s="88">
        <v>200</v>
      </c>
      <c r="H20" s="61"/>
      <c r="I20" s="61"/>
      <c r="J20" s="61"/>
    </row>
    <row r="21" spans="1:13" ht="13.8">
      <c r="A21" s="15"/>
      <c r="B21" s="58"/>
      <c r="C21" s="58"/>
      <c r="D21" s="58"/>
      <c r="E21" s="50"/>
      <c r="F21" s="58"/>
      <c r="G21" s="58"/>
      <c r="I21" s="61"/>
      <c r="J21" s="65"/>
      <c r="K21" s="65"/>
      <c r="L21" s="65"/>
      <c r="M21" s="65"/>
    </row>
    <row r="22" spans="1:13" ht="13.8">
      <c r="A22" s="30" t="s">
        <v>53</v>
      </c>
      <c r="B22" s="88"/>
      <c r="C22" s="58"/>
      <c r="D22" s="58"/>
      <c r="E22" s="50"/>
      <c r="F22" s="58"/>
      <c r="G22" s="58"/>
      <c r="H22" s="47"/>
      <c r="I22" s="61"/>
    </row>
    <row r="23" spans="1:13" ht="13.8">
      <c r="A23" s="15" t="s">
        <v>39</v>
      </c>
      <c r="B23" s="88">
        <v>416.16</v>
      </c>
      <c r="C23" s="58">
        <v>348.75</v>
      </c>
      <c r="D23" s="58">
        <v>229.16500000000002</v>
      </c>
      <c r="E23" s="50" t="s">
        <v>78</v>
      </c>
      <c r="F23" s="58">
        <v>407.1</v>
      </c>
      <c r="G23" s="58">
        <v>325</v>
      </c>
      <c r="H23" s="47"/>
      <c r="I23" s="61"/>
    </row>
    <row r="24" spans="1:13" ht="13.8">
      <c r="A24" s="15" t="s">
        <v>40</v>
      </c>
      <c r="B24" s="88">
        <v>464.27</v>
      </c>
      <c r="C24" s="58">
        <v>350</v>
      </c>
      <c r="D24" s="58">
        <v>266.67</v>
      </c>
      <c r="E24" s="50" t="s">
        <v>78</v>
      </c>
      <c r="F24" s="58">
        <v>441.77</v>
      </c>
      <c r="G24" s="88">
        <v>348.33</v>
      </c>
      <c r="H24" s="47"/>
      <c r="I24" s="61"/>
    </row>
    <row r="25" spans="1:13" ht="13.8">
      <c r="A25" s="15" t="s">
        <v>42</v>
      </c>
      <c r="B25" s="88">
        <v>440.6</v>
      </c>
      <c r="C25" s="58">
        <v>358.75</v>
      </c>
      <c r="D25" s="58">
        <v>270</v>
      </c>
      <c r="E25" s="50" t="s">
        <v>78</v>
      </c>
      <c r="F25" s="58">
        <v>395.04999999999995</v>
      </c>
      <c r="G25" s="88">
        <v>365</v>
      </c>
      <c r="H25" s="47"/>
      <c r="I25" s="61"/>
    </row>
    <row r="26" spans="1:13" ht="13.8">
      <c r="A26" s="15" t="s">
        <v>43</v>
      </c>
      <c r="B26" s="88">
        <v>378.4</v>
      </c>
      <c r="C26" s="58">
        <v>352.5</v>
      </c>
      <c r="D26" s="58">
        <v>270</v>
      </c>
      <c r="E26" s="50" t="s">
        <v>78</v>
      </c>
      <c r="F26" s="58">
        <v>349.3</v>
      </c>
      <c r="G26" s="88">
        <v>365</v>
      </c>
      <c r="H26" s="47"/>
      <c r="I26" s="61"/>
    </row>
    <row r="27" spans="1:13" ht="13.8">
      <c r="A27" s="15" t="s">
        <v>44</v>
      </c>
      <c r="B27" s="88">
        <v>363.625</v>
      </c>
      <c r="C27" s="58">
        <v>355</v>
      </c>
      <c r="D27" s="58">
        <v>210</v>
      </c>
      <c r="E27" s="50" t="s">
        <v>78</v>
      </c>
      <c r="F27" s="58">
        <v>357.75</v>
      </c>
      <c r="G27" s="88" t="s">
        <v>78</v>
      </c>
      <c r="H27" s="47"/>
      <c r="I27" s="61"/>
    </row>
    <row r="28" spans="1:13" ht="13.8">
      <c r="A28" s="15" t="s">
        <v>46</v>
      </c>
      <c r="B28" s="88">
        <v>361.75</v>
      </c>
      <c r="C28" s="58">
        <v>343.33</v>
      </c>
      <c r="D28" s="58">
        <v>140</v>
      </c>
      <c r="E28" s="50" t="s">
        <v>78</v>
      </c>
      <c r="F28" s="58">
        <v>348.34</v>
      </c>
      <c r="G28" s="88">
        <v>331</v>
      </c>
      <c r="H28" s="47"/>
      <c r="I28" s="61"/>
    </row>
    <row r="29" spans="1:13" ht="13.8">
      <c r="A29" s="15" t="s">
        <v>47</v>
      </c>
      <c r="B29" s="88">
        <v>357.67500000000001</v>
      </c>
      <c r="C29" s="58">
        <v>333.75</v>
      </c>
      <c r="D29" s="58">
        <v>142.5</v>
      </c>
      <c r="E29" s="50" t="s">
        <v>78</v>
      </c>
      <c r="F29" s="58">
        <v>357.17500000000001</v>
      </c>
      <c r="G29" s="88">
        <v>292.5</v>
      </c>
      <c r="H29" s="47"/>
      <c r="I29" s="61"/>
    </row>
    <row r="30" spans="1:13" ht="13.8">
      <c r="A30" s="15" t="s">
        <v>48</v>
      </c>
      <c r="B30" s="88">
        <v>388.65</v>
      </c>
      <c r="C30" s="58">
        <v>330</v>
      </c>
      <c r="D30" s="58">
        <v>170</v>
      </c>
      <c r="E30" s="50" t="s">
        <v>78</v>
      </c>
      <c r="F30" s="58">
        <v>411.82</v>
      </c>
      <c r="G30" s="88">
        <v>259</v>
      </c>
      <c r="H30" s="47"/>
      <c r="I30" s="61"/>
    </row>
    <row r="31" spans="1:13" ht="13.8">
      <c r="A31" s="15" t="s">
        <v>49</v>
      </c>
      <c r="B31" s="88">
        <v>384.1</v>
      </c>
      <c r="C31" s="58" t="s">
        <v>78</v>
      </c>
      <c r="D31" s="58">
        <v>166.25</v>
      </c>
      <c r="E31" s="50" t="s">
        <v>78</v>
      </c>
      <c r="F31" s="58">
        <v>416.6</v>
      </c>
      <c r="G31" s="88">
        <v>253.54249999999999</v>
      </c>
      <c r="H31" s="47"/>
      <c r="I31" s="61"/>
    </row>
    <row r="32" spans="1:13" ht="13.8">
      <c r="A32" s="15" t="s">
        <v>50</v>
      </c>
      <c r="B32" s="88">
        <v>364.3</v>
      </c>
      <c r="C32" s="58">
        <v>335</v>
      </c>
      <c r="D32" s="58">
        <v>155</v>
      </c>
      <c r="E32" s="50" t="s">
        <v>78</v>
      </c>
      <c r="F32" s="58">
        <v>387.87</v>
      </c>
      <c r="G32" s="88">
        <v>250.833</v>
      </c>
      <c r="H32" s="47"/>
      <c r="I32" s="61"/>
    </row>
    <row r="33" spans="1:10" ht="13.8">
      <c r="A33" s="15" t="s">
        <v>51</v>
      </c>
      <c r="B33" s="88">
        <v>343.4</v>
      </c>
      <c r="C33" s="58" t="s">
        <v>78</v>
      </c>
      <c r="D33" s="58">
        <v>154.5</v>
      </c>
      <c r="E33" s="50" t="s">
        <v>78</v>
      </c>
      <c r="F33" s="58">
        <v>341.42500000000001</v>
      </c>
      <c r="G33" s="88">
        <v>244.5</v>
      </c>
      <c r="H33" s="47"/>
      <c r="I33" s="61"/>
    </row>
    <row r="34" spans="1:10" ht="13.8">
      <c r="A34" s="15" t="s">
        <v>38</v>
      </c>
      <c r="B34" s="88">
        <v>346.33749999999998</v>
      </c>
      <c r="C34" s="58">
        <v>323.75</v>
      </c>
      <c r="D34" s="58">
        <v>156.25</v>
      </c>
      <c r="E34" s="50" t="s">
        <v>78</v>
      </c>
      <c r="F34" s="58">
        <v>325.10000000000002</v>
      </c>
      <c r="G34" s="88">
        <v>236.625</v>
      </c>
      <c r="H34" s="47"/>
      <c r="I34" s="61"/>
    </row>
    <row r="35" spans="1:10" ht="13.8">
      <c r="A35" s="15"/>
      <c r="B35" s="88"/>
      <c r="C35" s="58"/>
      <c r="D35" s="58"/>
      <c r="E35" s="50"/>
      <c r="F35" s="58"/>
      <c r="G35" s="58"/>
      <c r="H35" s="47"/>
      <c r="I35" s="61"/>
    </row>
    <row r="36" spans="1:10" ht="13.8">
      <c r="A36" s="30" t="s">
        <v>158</v>
      </c>
      <c r="B36" s="88"/>
      <c r="C36" s="58"/>
      <c r="D36" s="58"/>
      <c r="E36" s="50"/>
      <c r="F36" s="58"/>
      <c r="G36" s="58"/>
      <c r="H36" s="47"/>
      <c r="I36" s="61"/>
    </row>
    <row r="37" spans="1:10" ht="13.8">
      <c r="A37" s="15" t="s">
        <v>39</v>
      </c>
      <c r="B37" s="88">
        <v>342.85</v>
      </c>
      <c r="C37" s="58">
        <v>322.5</v>
      </c>
      <c r="D37" s="58">
        <v>173.75</v>
      </c>
      <c r="E37" s="50" t="s">
        <v>78</v>
      </c>
      <c r="F37" s="58">
        <v>314.27499999999998</v>
      </c>
      <c r="G37" s="58">
        <v>240</v>
      </c>
      <c r="H37" s="47"/>
      <c r="I37" s="61"/>
    </row>
    <row r="38" spans="1:10" ht="13.8">
      <c r="A38" s="15" t="s">
        <v>40</v>
      </c>
      <c r="B38" s="88">
        <v>316.17500000000001</v>
      </c>
      <c r="C38" s="58">
        <v>315</v>
      </c>
      <c r="D38" s="58">
        <v>177.5</v>
      </c>
      <c r="E38" s="50" t="s">
        <v>78</v>
      </c>
      <c r="F38" s="58">
        <v>283.17500000000001</v>
      </c>
      <c r="G38" s="58">
        <v>225</v>
      </c>
      <c r="H38" s="47"/>
      <c r="I38" s="61"/>
    </row>
    <row r="39" spans="1:10" ht="16.2">
      <c r="A39" s="79" t="s">
        <v>155</v>
      </c>
      <c r="B39" s="111"/>
      <c r="C39" s="111"/>
      <c r="D39" s="111"/>
      <c r="E39" s="111"/>
      <c r="F39" s="111"/>
      <c r="G39" s="111"/>
      <c r="I39" s="64"/>
    </row>
    <row r="40" spans="1:10" ht="16.2">
      <c r="A40" s="40" t="s">
        <v>156</v>
      </c>
      <c r="B40" s="66"/>
      <c r="C40" s="66"/>
      <c r="D40" s="66"/>
      <c r="E40" s="66"/>
      <c r="F40" s="66"/>
      <c r="G40" s="66"/>
      <c r="I40" s="64"/>
      <c r="J40" s="64"/>
    </row>
    <row r="41" spans="1:10" ht="14.4">
      <c r="A41" s="15" t="s">
        <v>157</v>
      </c>
      <c r="B41" s="15"/>
      <c r="C41" s="15"/>
      <c r="D41" s="15"/>
      <c r="E41" s="15"/>
      <c r="F41" s="66"/>
      <c r="G41" s="66"/>
      <c r="I41" s="64"/>
      <c r="J41" s="64"/>
    </row>
    <row r="42" spans="1:10" ht="13.8">
      <c r="A42" s="20" t="s">
        <v>57</v>
      </c>
      <c r="B42" s="36">
        <f>Contents!A18</f>
        <v>45638</v>
      </c>
      <c r="C42" s="15"/>
      <c r="D42" s="15"/>
      <c r="E42" s="15"/>
      <c r="F42" s="66"/>
      <c r="G42" s="66"/>
      <c r="I42" s="67"/>
      <c r="J42" s="67"/>
    </row>
    <row r="43" spans="1:10" ht="13.8">
      <c r="F43" s="66"/>
      <c r="G43" s="66"/>
      <c r="I43" s="67"/>
      <c r="J43" s="67"/>
    </row>
    <row r="44" spans="1:10" ht="13.8">
      <c r="B44" s="92"/>
      <c r="F44" s="66"/>
      <c r="G44" s="66"/>
      <c r="I44" s="64"/>
      <c r="J44" s="64"/>
    </row>
    <row r="45" spans="1:10">
      <c r="B45" s="92"/>
      <c r="I45" s="64"/>
      <c r="J45" s="64"/>
    </row>
    <row r="46" spans="1:10">
      <c r="I46" s="64"/>
      <c r="J46" s="64"/>
    </row>
    <row r="47" spans="1:10">
      <c r="B47" s="90"/>
      <c r="I47" s="64"/>
      <c r="J47" s="64"/>
    </row>
    <row r="48" spans="1:10">
      <c r="I48" s="64"/>
      <c r="J48" s="64"/>
    </row>
    <row r="49" spans="9:10">
      <c r="I49" s="64"/>
      <c r="J49" s="64"/>
    </row>
    <row r="51" spans="9:10">
      <c r="I51" s="68"/>
      <c r="J51" s="68"/>
    </row>
    <row r="52" spans="9:10">
      <c r="I52" s="68"/>
      <c r="J52" s="68"/>
    </row>
  </sheetData>
  <phoneticPr fontId="5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7314-56A8-4D87-9B38-645C163AFA37}">
  <dimension ref="A1:E72"/>
  <sheetViews>
    <sheetView zoomScale="90" zoomScaleNormal="9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15.6640625" style="137" bestFit="1" customWidth="1"/>
    <col min="2" max="2" width="23.6640625" style="137" customWidth="1"/>
    <col min="3" max="3" width="17.88671875" style="137" customWidth="1"/>
    <col min="4" max="4" width="14" style="137" customWidth="1"/>
    <col min="5" max="5" width="13.88671875" style="137" bestFit="1" customWidth="1"/>
    <col min="6" max="16384" width="8.88671875" style="137"/>
  </cols>
  <sheetData>
    <row r="1" spans="1:5">
      <c r="A1" s="185" t="s">
        <v>169</v>
      </c>
      <c r="B1" s="185"/>
      <c r="C1" s="185"/>
      <c r="D1" s="185"/>
      <c r="E1" s="185"/>
    </row>
    <row r="2" spans="1:5" ht="15" thickBot="1">
      <c r="A2" s="186" t="s">
        <v>167</v>
      </c>
      <c r="B2" s="187" t="s">
        <v>121</v>
      </c>
      <c r="C2" s="188" t="s">
        <v>35</v>
      </c>
      <c r="D2" s="188" t="s">
        <v>53</v>
      </c>
      <c r="E2" s="188" t="s">
        <v>158</v>
      </c>
    </row>
    <row r="3" spans="1:5">
      <c r="A3" s="146" t="s">
        <v>166</v>
      </c>
      <c r="B3">
        <v>12.49</v>
      </c>
      <c r="C3">
        <v>14.74</v>
      </c>
      <c r="D3">
        <v>12.96</v>
      </c>
      <c r="E3">
        <v>9.8000000000000007</v>
      </c>
    </row>
    <row r="4" spans="1:5">
      <c r="A4" s="146" t="s">
        <v>159</v>
      </c>
      <c r="B4">
        <v>11.99</v>
      </c>
      <c r="C4">
        <v>13.45</v>
      </c>
      <c r="D4">
        <v>12.43</v>
      </c>
      <c r="E4">
        <v>9.64</v>
      </c>
    </row>
    <row r="5" spans="1:5">
      <c r="A5" s="146" t="s">
        <v>161</v>
      </c>
      <c r="B5">
        <v>12.19</v>
      </c>
      <c r="C5">
        <v>14.14</v>
      </c>
      <c r="D5">
        <v>13.09</v>
      </c>
      <c r="E5">
        <v>9.67</v>
      </c>
    </row>
    <row r="6" spans="1:5">
      <c r="A6" s="146" t="s">
        <v>162</v>
      </c>
      <c r="B6">
        <v>12.73</v>
      </c>
      <c r="C6">
        <v>14.57</v>
      </c>
      <c r="D6">
        <v>12.73</v>
      </c>
      <c r="E6">
        <v>9.65</v>
      </c>
    </row>
    <row r="7" spans="1:5">
      <c r="A7" s="146" t="s">
        <v>163</v>
      </c>
      <c r="B7" s="155">
        <v>13.81</v>
      </c>
      <c r="C7">
        <v>14.86</v>
      </c>
      <c r="D7">
        <v>12.05</v>
      </c>
      <c r="E7"/>
    </row>
    <row r="8" spans="1:5">
      <c r="A8" s="146" t="s">
        <v>164</v>
      </c>
      <c r="B8" s="155">
        <v>15.68</v>
      </c>
      <c r="C8">
        <v>15.09</v>
      </c>
      <c r="D8">
        <v>11.45</v>
      </c>
      <c r="E8"/>
    </row>
    <row r="9" spans="1:5">
      <c r="A9" s="138" t="s">
        <v>168</v>
      </c>
      <c r="B9" s="155">
        <v>16.53</v>
      </c>
      <c r="C9">
        <v>14.74</v>
      </c>
      <c r="D9">
        <v>11.57</v>
      </c>
      <c r="E9"/>
    </row>
    <row r="10" spans="1:5">
      <c r="A10" s="138" t="s">
        <v>165</v>
      </c>
      <c r="B10" s="155">
        <v>16.73</v>
      </c>
      <c r="C10">
        <v>14.72</v>
      </c>
      <c r="D10">
        <v>11.42</v>
      </c>
      <c r="E10"/>
    </row>
    <row r="11" spans="1:5">
      <c r="A11" s="138" t="s">
        <v>48</v>
      </c>
      <c r="B11" s="155">
        <v>16.79</v>
      </c>
      <c r="C11">
        <v>13.79</v>
      </c>
      <c r="D11">
        <v>11.94</v>
      </c>
      <c r="E11"/>
    </row>
    <row r="12" spans="1:5">
      <c r="A12" s="138" t="s">
        <v>49</v>
      </c>
      <c r="B12" s="155">
        <v>17.13</v>
      </c>
      <c r="C12">
        <v>14.2</v>
      </c>
      <c r="D12">
        <v>11.55</v>
      </c>
      <c r="E12"/>
    </row>
    <row r="13" spans="1:5">
      <c r="A13" s="138" t="s">
        <v>50</v>
      </c>
      <c r="B13" s="155">
        <v>15.43</v>
      </c>
      <c r="C13">
        <v>14.89</v>
      </c>
      <c r="D13">
        <v>11.12</v>
      </c>
      <c r="E13"/>
    </row>
    <row r="14" spans="1:5">
      <c r="A14" s="138" t="s">
        <v>160</v>
      </c>
      <c r="B14" s="155">
        <v>15.56</v>
      </c>
      <c r="C14">
        <v>13.97</v>
      </c>
      <c r="D14">
        <v>9.84</v>
      </c>
      <c r="E14"/>
    </row>
    <row r="15" spans="1:5">
      <c r="A15" s="138"/>
      <c r="B15" s="139"/>
      <c r="C15" s="139"/>
      <c r="D15" s="139"/>
      <c r="E15" s="139"/>
    </row>
    <row r="16" spans="1:5">
      <c r="A16" s="138"/>
      <c r="B16" s="139"/>
      <c r="C16" s="139"/>
      <c r="D16" s="139"/>
      <c r="E16" s="139"/>
    </row>
    <row r="17" spans="1:5">
      <c r="A17" s="138"/>
      <c r="B17" s="139"/>
      <c r="C17" s="139"/>
      <c r="D17" s="139"/>
      <c r="E17" s="139"/>
    </row>
    <row r="18" spans="1:5">
      <c r="A18" s="138"/>
      <c r="B18" s="139"/>
      <c r="C18" s="139"/>
      <c r="D18" s="139"/>
      <c r="E18" s="139"/>
    </row>
    <row r="19" spans="1:5">
      <c r="A19" s="138"/>
      <c r="B19" s="139"/>
      <c r="C19" s="139"/>
      <c r="D19" s="139"/>
      <c r="E19" s="139"/>
    </row>
    <row r="20" spans="1:5">
      <c r="A20" s="138"/>
      <c r="B20" s="139"/>
      <c r="C20" s="139"/>
      <c r="D20" s="139"/>
      <c r="E20" s="139"/>
    </row>
    <row r="21" spans="1:5">
      <c r="A21" s="138"/>
      <c r="B21" s="139"/>
      <c r="C21" s="139"/>
      <c r="D21" s="139"/>
      <c r="E21" s="139"/>
    </row>
    <row r="22" spans="1:5">
      <c r="A22" s="138"/>
      <c r="B22" s="139"/>
      <c r="C22" s="139"/>
      <c r="D22" s="139"/>
      <c r="E22" s="139"/>
    </row>
    <row r="23" spans="1:5">
      <c r="A23" s="138"/>
      <c r="B23" s="139"/>
      <c r="C23" s="139"/>
      <c r="D23" s="139"/>
      <c r="E23" s="139"/>
    </row>
    <row r="24" spans="1:5">
      <c r="A24" s="138"/>
      <c r="B24" s="139"/>
      <c r="C24" s="139"/>
      <c r="D24" s="139"/>
      <c r="E24" s="139"/>
    </row>
    <row r="25" spans="1:5">
      <c r="A25" s="138"/>
      <c r="B25" s="139"/>
      <c r="C25" s="139"/>
      <c r="D25" s="139"/>
      <c r="E25" s="139"/>
    </row>
    <row r="26" spans="1:5">
      <c r="A26" s="138"/>
      <c r="B26" s="139"/>
      <c r="C26" s="139"/>
      <c r="D26" s="139"/>
      <c r="E26" s="139"/>
    </row>
    <row r="27" spans="1:5">
      <c r="A27" s="138"/>
      <c r="B27" s="139"/>
      <c r="C27" s="139"/>
    </row>
    <row r="28" spans="1:5">
      <c r="A28" s="138"/>
      <c r="B28" s="139"/>
      <c r="C28" s="139"/>
    </row>
    <row r="29" spans="1:5">
      <c r="A29" s="138"/>
      <c r="B29" s="139"/>
      <c r="C29" s="139"/>
    </row>
    <row r="30" spans="1:5">
      <c r="A30" s="138"/>
      <c r="B30" s="139"/>
      <c r="C30" s="139"/>
    </row>
    <row r="31" spans="1:5">
      <c r="A31" s="138"/>
      <c r="B31" s="139"/>
      <c r="C31" s="139"/>
    </row>
    <row r="32" spans="1:5">
      <c r="A32" s="138"/>
      <c r="B32" s="139"/>
      <c r="C32" s="139"/>
    </row>
    <row r="33" spans="1:3">
      <c r="A33" s="138"/>
      <c r="B33" s="139"/>
      <c r="C33" s="139"/>
    </row>
    <row r="34" spans="1:3">
      <c r="A34" s="138"/>
      <c r="B34" s="139"/>
      <c r="C34" s="139"/>
    </row>
    <row r="35" spans="1:3">
      <c r="A35" s="138"/>
      <c r="B35" s="139"/>
      <c r="C35" s="139"/>
    </row>
    <row r="36" spans="1:3">
      <c r="A36" s="138"/>
      <c r="B36" s="139"/>
      <c r="C36" s="139"/>
    </row>
    <row r="37" spans="1:3">
      <c r="A37" s="138"/>
      <c r="B37" s="139"/>
      <c r="C37" s="139"/>
    </row>
    <row r="38" spans="1:3">
      <c r="A38" s="138"/>
      <c r="B38" s="139"/>
      <c r="C38" s="139"/>
    </row>
    <row r="39" spans="1:3">
      <c r="A39" s="138"/>
      <c r="B39" s="139"/>
      <c r="C39" s="139"/>
    </row>
    <row r="40" spans="1:3">
      <c r="A40" s="138"/>
      <c r="B40" s="139"/>
      <c r="C40" s="139"/>
    </row>
    <row r="41" spans="1:3">
      <c r="A41" s="138"/>
      <c r="B41" s="139"/>
      <c r="C41" s="139"/>
    </row>
    <row r="42" spans="1:3">
      <c r="A42" s="138"/>
      <c r="B42" s="139"/>
      <c r="C42" s="139"/>
    </row>
    <row r="43" spans="1:3">
      <c r="A43" s="138"/>
      <c r="B43" s="139"/>
      <c r="C43" s="139"/>
    </row>
    <row r="44" spans="1:3">
      <c r="A44" s="138"/>
      <c r="B44" s="139"/>
      <c r="C44" s="139"/>
    </row>
    <row r="45" spans="1:3">
      <c r="A45" s="138"/>
      <c r="B45" s="139"/>
      <c r="C45" s="139"/>
    </row>
    <row r="46" spans="1:3">
      <c r="A46" s="138"/>
      <c r="B46" s="139"/>
      <c r="C46" s="139"/>
    </row>
    <row r="47" spans="1:3">
      <c r="A47" s="138"/>
      <c r="B47" s="139"/>
      <c r="C47" s="139"/>
    </row>
    <row r="48" spans="1:3">
      <c r="A48" s="138"/>
      <c r="B48" s="139"/>
      <c r="C48" s="139"/>
    </row>
    <row r="49" spans="1:4">
      <c r="A49" s="138"/>
      <c r="B49" s="139"/>
      <c r="C49" s="139"/>
    </row>
    <row r="50" spans="1:4">
      <c r="A50" s="138"/>
      <c r="B50" s="139"/>
      <c r="C50" s="139"/>
    </row>
    <row r="51" spans="1:4">
      <c r="A51" s="138"/>
      <c r="B51" s="139"/>
      <c r="C51" s="139"/>
    </row>
    <row r="52" spans="1:4">
      <c r="A52" s="138"/>
      <c r="B52" s="139"/>
      <c r="C52" s="139"/>
    </row>
    <row r="53" spans="1:4">
      <c r="A53" s="138"/>
      <c r="B53" s="139"/>
      <c r="C53" s="139"/>
    </row>
    <row r="54" spans="1:4">
      <c r="A54" s="138"/>
      <c r="B54" s="139"/>
      <c r="C54" s="139"/>
    </row>
    <row r="55" spans="1:4">
      <c r="A55" s="138"/>
      <c r="B55" s="139"/>
      <c r="C55" s="139"/>
    </row>
    <row r="56" spans="1:4">
      <c r="A56" s="138"/>
      <c r="B56" s="139"/>
      <c r="C56" s="139"/>
    </row>
    <row r="57" spans="1:4">
      <c r="A57" s="138"/>
      <c r="B57" s="139"/>
      <c r="C57" s="139"/>
    </row>
    <row r="58" spans="1:4">
      <c r="A58" s="138"/>
      <c r="B58" s="139"/>
      <c r="C58" s="139"/>
    </row>
    <row r="59" spans="1:4">
      <c r="A59" s="138"/>
      <c r="B59" s="139"/>
      <c r="C59" s="139"/>
    </row>
    <row r="60" spans="1:4">
      <c r="A60" s="138"/>
      <c r="B60" s="139"/>
      <c r="C60" s="139"/>
      <c r="D60" s="139"/>
    </row>
    <row r="61" spans="1:4">
      <c r="A61" s="138"/>
    </row>
    <row r="62" spans="1:4">
      <c r="A62" s="138"/>
      <c r="B62" s="139"/>
      <c r="C62" s="139"/>
    </row>
    <row r="63" spans="1:4">
      <c r="A63" s="138"/>
      <c r="B63" s="140"/>
      <c r="C63" s="140"/>
    </row>
    <row r="64" spans="1:4">
      <c r="A64" s="138"/>
    </row>
    <row r="65" spans="1:3">
      <c r="A65" s="138"/>
      <c r="B65" s="139"/>
      <c r="C65" s="139"/>
    </row>
    <row r="66" spans="1:3">
      <c r="A66" s="138"/>
      <c r="B66" s="139"/>
    </row>
    <row r="67" spans="1:3">
      <c r="A67" s="138"/>
      <c r="B67" s="140"/>
    </row>
    <row r="68" spans="1:3">
      <c r="A68" s="138"/>
    </row>
    <row r="69" spans="1:3">
      <c r="A69" s="138"/>
      <c r="B69" s="141"/>
    </row>
    <row r="70" spans="1:3">
      <c r="A70" s="138"/>
    </row>
    <row r="71" spans="1:3">
      <c r="A71" s="138"/>
    </row>
    <row r="72" spans="1:3">
      <c r="A72" s="138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www.w3.org/XML/1998/namespace"/>
    <ds:schemaRef ds:uri="c49de858-f9fd-4eb6-bcba-50396646711f"/>
    <ds:schemaRef ds:uri="7818c5c2-d41f-4dce-801c-4e3595afcb3f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Figure 6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prices</cp:keywords>
  <dc:description/>
  <cp:lastModifiedBy>Bukowski, Maria - REE-ERS</cp:lastModifiedBy>
  <cp:revision/>
  <dcterms:created xsi:type="dcterms:W3CDTF">2001-11-13T16:22:15Z</dcterms:created>
  <dcterms:modified xsi:type="dcterms:W3CDTF">2024-12-12T12:10:00Z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