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4/OCS-24F June 2024/"/>
    </mc:Choice>
  </mc:AlternateContent>
  <xr:revisionPtr revIDLastSave="1602" documentId="14_{B963255E-7C51-46F7-A78A-734AFE6B0FDE}" xr6:coauthVersionLast="47" xr6:coauthVersionMax="47" xr10:uidLastSave="{ABB3B7B9-0FC6-4590-ADB4-BA58094A2CCB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81" r:id="rId9"/>
    <sheet name="Figure 2" sheetId="183" r:id="rId10"/>
    <sheet name="Figure 3" sheetId="167" r:id="rId11"/>
  </sheets>
  <definedNames>
    <definedName name="_xlnm.Print_Area" localSheetId="1">'Table 1'!$A$1:$N$41</definedName>
    <definedName name="_xlnm.Print_Area" localSheetId="7">'Table 10'!$A$1:$G$46</definedName>
    <definedName name="_xlnm.Print_Area" localSheetId="2">'Table 2'!$A$1:$J$34</definedName>
    <definedName name="_xlnm.Print_Area" localSheetId="3">'Table 3'!$A$1:$L$47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9" l="1"/>
  <c r="D32" i="9"/>
  <c r="D32" i="2"/>
  <c r="G39" i="1"/>
  <c r="J32" i="9"/>
  <c r="H31" i="2"/>
  <c r="H32" i="2"/>
  <c r="E32" i="2"/>
  <c r="I32" i="2" s="1"/>
  <c r="G32" i="2" s="1"/>
  <c r="B32" i="2"/>
  <c r="L39" i="1"/>
  <c r="L38" i="1"/>
  <c r="E32" i="9" l="1"/>
  <c r="K32" i="9" s="1"/>
  <c r="G32" i="9" s="1"/>
  <c r="B32" i="9"/>
  <c r="J39" i="1"/>
  <c r="F46" i="3" l="1"/>
  <c r="D8" i="1" l="1"/>
  <c r="J31" i="9" l="1"/>
  <c r="D31" i="9"/>
  <c r="B31" i="9"/>
  <c r="D31" i="2"/>
  <c r="B31" i="2"/>
  <c r="E31" i="2" s="1"/>
  <c r="I31" i="2" s="1"/>
  <c r="G31" i="2" s="1"/>
  <c r="J38" i="1"/>
  <c r="G38" i="1"/>
  <c r="E31" i="9" l="1"/>
  <c r="K31" i="9" s="1"/>
  <c r="G31" i="9" s="1"/>
  <c r="M7" i="1" l="1"/>
  <c r="D7" i="1"/>
  <c r="D6" i="1"/>
  <c r="I7" i="2"/>
  <c r="J6" i="2"/>
  <c r="G7" i="9"/>
  <c r="K7" i="9" s="1"/>
  <c r="B7" i="9"/>
  <c r="E7" i="9" s="1"/>
  <c r="L6" i="9"/>
  <c r="N45" i="3"/>
  <c r="H45" i="3"/>
  <c r="H44" i="3"/>
  <c r="N44" i="3" s="1"/>
  <c r="L44" i="3" s="1"/>
  <c r="D45" i="3"/>
  <c r="D44" i="3"/>
  <c r="I32" i="3"/>
  <c r="B32" i="3"/>
  <c r="E32" i="3" s="1"/>
  <c r="I31" i="3"/>
  <c r="E31" i="3"/>
  <c r="J31" i="3" s="1"/>
  <c r="I20" i="3"/>
  <c r="E20" i="3"/>
  <c r="B20" i="3"/>
  <c r="E19" i="3"/>
  <c r="G19" i="3" s="1"/>
  <c r="I19" i="3" s="1"/>
  <c r="J7" i="3"/>
  <c r="B7" i="3"/>
  <c r="E7" i="3" s="1"/>
  <c r="E6" i="3"/>
  <c r="J6" i="3" s="1"/>
  <c r="I6" i="3" s="1"/>
  <c r="L7" i="9" l="1"/>
  <c r="B7" i="2"/>
  <c r="E7" i="2" s="1"/>
  <c r="J7" i="2" s="1"/>
  <c r="O45" i="3"/>
  <c r="J32" i="3"/>
  <c r="J20" i="3"/>
  <c r="K7" i="3"/>
  <c r="I33" i="3" l="1"/>
  <c r="J30" i="9" l="1"/>
  <c r="H30" i="2"/>
  <c r="L36" i="1"/>
  <c r="D30" i="9"/>
  <c r="D30" i="2"/>
  <c r="G36" i="1"/>
  <c r="J36" i="1"/>
  <c r="B30" i="9" l="1"/>
  <c r="E30" i="9" s="1"/>
  <c r="K30" i="9" s="1"/>
  <c r="G30" i="9" s="1"/>
  <c r="I30" i="9" s="1"/>
  <c r="B30" i="2"/>
  <c r="E30" i="2" s="1"/>
  <c r="I30" i="2" s="1"/>
  <c r="E37" i="1"/>
  <c r="G30" i="2" l="1"/>
  <c r="I8" i="2"/>
  <c r="J8" i="3"/>
  <c r="J29" i="9"/>
  <c r="D29" i="9"/>
  <c r="H29" i="2"/>
  <c r="D29" i="2"/>
  <c r="G35" i="1"/>
  <c r="L35" i="1"/>
  <c r="J35" i="1" l="1"/>
  <c r="B29" i="2"/>
  <c r="E29" i="2" s="1"/>
  <c r="I29" i="2" s="1"/>
  <c r="B29" i="9"/>
  <c r="E29" i="9" s="1"/>
  <c r="K29" i="9" s="1"/>
  <c r="G29" i="9" s="1"/>
  <c r="I29" i="9" s="1"/>
  <c r="G29" i="2" l="1"/>
  <c r="G34" i="1" l="1"/>
  <c r="G37" i="1" s="1"/>
  <c r="H37" i="1" s="1"/>
  <c r="M37" i="1" s="1"/>
  <c r="D28" i="9"/>
  <c r="D28" i="2"/>
  <c r="H28" i="2"/>
  <c r="J28" i="9"/>
  <c r="L34" i="1"/>
  <c r="L37" i="1" s="1"/>
  <c r="B28" i="9" l="1"/>
  <c r="E28" i="9" s="1"/>
  <c r="K28" i="9" s="1"/>
  <c r="G28" i="9" s="1"/>
  <c r="I28" i="9" s="1"/>
  <c r="B28" i="2"/>
  <c r="E28" i="2" s="1"/>
  <c r="I28" i="2" s="1"/>
  <c r="G28" i="2" s="1"/>
  <c r="J34" i="1"/>
  <c r="J37" i="1" s="1"/>
  <c r="K37" i="1" s="1"/>
  <c r="H27" i="2"/>
  <c r="E14" i="1"/>
  <c r="K8" i="9" l="1"/>
  <c r="J27" i="9" l="1"/>
  <c r="D27" i="9"/>
  <c r="D26" i="9"/>
  <c r="D27" i="2"/>
  <c r="E33" i="1"/>
  <c r="J32" i="1"/>
  <c r="L32" i="1" l="1"/>
  <c r="G32" i="1"/>
  <c r="B27" i="2" l="1"/>
  <c r="E27" i="2" s="1"/>
  <c r="I27" i="2" s="1"/>
  <c r="G27" i="2" s="1"/>
  <c r="B27" i="9"/>
  <c r="E27" i="9" s="1"/>
  <c r="K27" i="9" s="1"/>
  <c r="G27" i="9" s="1"/>
  <c r="I27" i="9" s="1"/>
  <c r="B11" i="9"/>
  <c r="B11" i="2"/>
  <c r="L31" i="1" l="1"/>
  <c r="G31" i="1"/>
  <c r="D26" i="2"/>
  <c r="H26" i="2"/>
  <c r="J26" i="9"/>
  <c r="J31" i="1" l="1"/>
  <c r="H23" i="9" l="1"/>
  <c r="H6" i="9" s="1"/>
  <c r="B8" i="9" l="1"/>
  <c r="J23" i="9"/>
  <c r="J6" i="9" s="1"/>
  <c r="D23" i="9"/>
  <c r="D6" i="9" s="1"/>
  <c r="C23" i="9"/>
  <c r="C6" i="9" s="1"/>
  <c r="J22" i="9"/>
  <c r="D22" i="9"/>
  <c r="B22" i="9"/>
  <c r="E22" i="9" s="1"/>
  <c r="K22" i="9" s="1"/>
  <c r="J21" i="9"/>
  <c r="D21" i="9"/>
  <c r="B21" i="9"/>
  <c r="J20" i="9"/>
  <c r="D20" i="9"/>
  <c r="B20" i="9"/>
  <c r="J19" i="9"/>
  <c r="D19" i="9"/>
  <c r="B19" i="9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J15" i="9"/>
  <c r="D15" i="9"/>
  <c r="B15" i="9"/>
  <c r="J14" i="9"/>
  <c r="D14" i="9"/>
  <c r="B14" i="9"/>
  <c r="E14" i="9" s="1"/>
  <c r="K14" i="9" s="1"/>
  <c r="J13" i="9"/>
  <c r="D13" i="9"/>
  <c r="B13" i="9"/>
  <c r="J12" i="9"/>
  <c r="D12" i="9"/>
  <c r="B12" i="9"/>
  <c r="J11" i="9"/>
  <c r="D11" i="9"/>
  <c r="B26" i="2"/>
  <c r="E26" i="2" s="1"/>
  <c r="I26" i="2" s="1"/>
  <c r="G26" i="2" s="1"/>
  <c r="H23" i="2"/>
  <c r="H6" i="2" s="1"/>
  <c r="D23" i="2"/>
  <c r="D6" i="2" s="1"/>
  <c r="E6" i="2" s="1"/>
  <c r="C23" i="2"/>
  <c r="C6" i="2" s="1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H18" i="2"/>
  <c r="D18" i="2"/>
  <c r="B18" i="2"/>
  <c r="H17" i="2"/>
  <c r="D17" i="2"/>
  <c r="B17" i="2"/>
  <c r="H16" i="2"/>
  <c r="D16" i="2"/>
  <c r="B16" i="2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E12" i="9" l="1"/>
  <c r="K12" i="9" s="1"/>
  <c r="E16" i="9"/>
  <c r="K16" i="9" s="1"/>
  <c r="E20" i="9"/>
  <c r="K20" i="9" s="1"/>
  <c r="G20" i="9" s="1"/>
  <c r="I20" i="9" s="1"/>
  <c r="I6" i="2"/>
  <c r="G6" i="2"/>
  <c r="E16" i="2"/>
  <c r="I16" i="2" s="1"/>
  <c r="E19" i="9"/>
  <c r="K19" i="9" s="1"/>
  <c r="G19" i="9" s="1"/>
  <c r="I19" i="9" s="1"/>
  <c r="E19" i="2"/>
  <c r="I19" i="2" s="1"/>
  <c r="G19" i="2" s="1"/>
  <c r="G16" i="2"/>
  <c r="E13" i="9"/>
  <c r="K13" i="9" s="1"/>
  <c r="G13" i="9" s="1"/>
  <c r="I13" i="9" s="1"/>
  <c r="G12" i="9"/>
  <c r="I12" i="9" s="1"/>
  <c r="G16" i="9"/>
  <c r="I16" i="9" s="1"/>
  <c r="E14" i="2"/>
  <c r="I14" i="2" s="1"/>
  <c r="G14" i="2" s="1"/>
  <c r="E18" i="2"/>
  <c r="I18" i="2" s="1"/>
  <c r="G18" i="2" s="1"/>
  <c r="E22" i="2"/>
  <c r="I22" i="2" s="1"/>
  <c r="G22" i="2" s="1"/>
  <c r="E23" i="2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G11" i="9" s="1"/>
  <c r="E23" i="9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42" i="1"/>
  <c r="E46" i="3"/>
  <c r="N46" i="3"/>
  <c r="E6" i="9" l="1"/>
  <c r="K6" i="9" s="1"/>
  <c r="G6" i="9" s="1"/>
  <c r="I6" i="9" s="1"/>
  <c r="G23" i="9"/>
  <c r="I23" i="2"/>
  <c r="I23" i="9"/>
  <c r="G23" i="2"/>
  <c r="K23" i="9"/>
  <c r="I11" i="9"/>
  <c r="G30" i="1"/>
  <c r="G33" i="1" l="1"/>
  <c r="L30" i="1"/>
  <c r="L33" i="1" s="1"/>
  <c r="H33" i="1" l="1"/>
  <c r="M33" i="1" s="1"/>
  <c r="K33" i="1" s="1"/>
  <c r="J30" i="1"/>
  <c r="J33" i="1" s="1"/>
  <c r="L27" i="1" l="1"/>
  <c r="L6" i="1" s="1"/>
  <c r="G27" i="1"/>
  <c r="G6" i="1" s="1"/>
  <c r="H6" i="1" s="1"/>
  <c r="M6" i="1" s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K22" i="1" s="1"/>
  <c r="J14" i="1"/>
  <c r="K18" i="1" l="1"/>
  <c r="K26" i="1"/>
  <c r="K14" i="1"/>
  <c r="J27" i="1"/>
  <c r="J6" i="1" s="1"/>
  <c r="K6" i="1" s="1"/>
  <c r="M8" i="1" l="1"/>
  <c r="I21" i="3" l="1"/>
  <c r="B26" i="9" l="1"/>
  <c r="E26" i="9" l="1"/>
  <c r="K26" i="9" s="1"/>
  <c r="G26" i="9" s="1"/>
  <c r="I26" i="9" s="1"/>
  <c r="B48" i="6" l="1"/>
  <c r="B48" i="5"/>
  <c r="B47" i="4"/>
  <c r="B50" i="3"/>
  <c r="B35" i="9"/>
  <c r="B35" i="2"/>
  <c r="E7" i="1" l="1"/>
  <c r="H7" i="1" l="1"/>
  <c r="N7" i="1" s="1"/>
  <c r="E8" i="1" s="1"/>
  <c r="E45" i="3"/>
  <c r="H46" i="3" l="1"/>
  <c r="O46" i="3" s="1"/>
  <c r="B21" i="3"/>
  <c r="E21" i="3" s="1"/>
  <c r="J21" i="3" s="1"/>
  <c r="H8" i="1" l="1"/>
  <c r="N8" i="1" s="1"/>
  <c r="B33" i="3" l="1"/>
  <c r="E33" i="3" s="1"/>
  <c r="J33" i="3" s="1"/>
  <c r="E8" i="9" l="1"/>
  <c r="L8" i="9" s="1"/>
  <c r="B8" i="3" l="1"/>
  <c r="E8" i="3" s="1"/>
  <c r="K8" i="3" s="1"/>
  <c r="B8" i="2" l="1"/>
  <c r="E8" i="2" s="1"/>
  <c r="J8" i="2" s="1"/>
</calcChain>
</file>

<file path=xl/sharedStrings.xml><?xml version="1.0" encoding="utf-8"?>
<sst xmlns="http://schemas.openxmlformats.org/spreadsheetml/2006/main" count="546" uniqueCount="177">
  <si>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</si>
  <si>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</si>
  <si>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</si>
  <si>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</si>
  <si>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</si>
  <si>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</si>
  <si>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</si>
  <si>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</si>
  <si>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</si>
  <si>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</si>
  <si>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</si>
  <si>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</si>
  <si>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</si>
  <si>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</si>
  <si>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</si>
  <si>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</si>
  <si>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</si>
  <si>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</si>
  <si>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</si>
  <si>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</si>
  <si>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</si>
  <si>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</si>
  <si>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</si>
  <si>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</si>
  <si>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</si>
  <si>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</si>
  <si>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</si>
  <si>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</si>
  <si>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</si>
  <si>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</si>
  <si>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</si>
  <si>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</si>
  <si>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</si>
  <si>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</si>
  <si>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</si>
  <si>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</si>
  <si>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</si>
  <si>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</si>
  <si>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</si>
  <si>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</si>
  <si>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</si>
  <si>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</si>
  <si>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</si>
  <si>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</si>
  <si>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</si>
  <si>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</si>
  <si>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</si>
  <si>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</si>
  <si>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</si>
  <si>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</si>
  <si>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</si>
  <si>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</si>
  <si>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</si>
  <si>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</si>
  <si>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</si>
  <si>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</si>
  <si>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</si>
  <si>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</si>
  <si>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</si>
  <si>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</si>
  <si>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</si>
  <si>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</si>
  <si>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</si>
  <si>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</si>
  <si>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</si>
  <si>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</si>
  <si>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</si>
  <si>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</si>
  <si>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</si>
  <si>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</si>
  <si>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</si>
  <si>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</si>
  <si>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</si>
  <si>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</si>
  <si>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</si>
  <si>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</si>
  <si>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</si>
  <si>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</si>
  <si>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</si>
  <si>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</si>
  <si>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</si>
  <si>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</si>
  <si>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</si>
  <si>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</si>
  <si>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</si>
  <si>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</si>
  <si>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</si>
  <si>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</si>
  <si>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</si>
  <si>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</si>
  <si>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</si>
  <si>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</si>
  <si>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</si>
  <si>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</si>
  <si>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</si>
  <si>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</si>
  <si>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</si>
  <si>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</si>
  <si>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</si>
  <si>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</si>
  <si>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</si>
  <si>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</si>
  <si>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</si>
  <si>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</si>
  <si>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</si>
  <si>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</si>
  <si>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</si>
  <si>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</si>
  <si>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</si>
  <si>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</si>
  <si>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</si>
  <si>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</si>
  <si>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</si>
  <si>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</si>
  <si>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</si>
  <si>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</si>
  <si>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</si>
  <si>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</si>
  <si>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</si>
  <si>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</si>
  <si>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</si>
  <si>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</si>
  <si>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</si>
  <si>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</si>
  <si>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</si>
  <si>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</si>
  <si>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</si>
  <si>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</si>
  <si>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</si>
  <si>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</si>
  <si>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</si>
  <si>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</si>
  <si>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</si>
  <si>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</si>
  <si>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</si>
  <si>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</si>
  <si>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</si>
  <si>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</si>
  <si>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</si>
  <si>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</si>
  <si>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</si>
  <si>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</si>
  <si>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</si>
  <si>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</si>
  <si>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</si>
  <si>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</si>
  <si>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</si>
  <si>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</si>
  <si>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</si>
  <si>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</si>
  <si>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</si>
  <si>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</si>
  <si>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</si>
  <si>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</si>
  <si>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r>
      <t>2024/25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</si>
  <si>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1</t>
    </r>
  </si>
  <si>
    <r>
      <t>2024/25</t>
    </r>
    <r>
      <rPr>
        <vertAlign val="superscript"/>
        <sz val="11"/>
        <rFont val="Arial"/>
        <family val="2"/>
      </rPr>
      <t>2</t>
    </r>
  </si>
  <si>
    <r>
      <t>2024/25</t>
    </r>
    <r>
      <rPr>
        <vertAlign val="superscript"/>
        <sz val="11"/>
        <rFont val="Arial"/>
        <family val="2"/>
      </rPr>
      <t>7</t>
    </r>
  </si>
  <si>
    <t>Price</t>
  </si>
  <si>
    <t>Month</t>
  </si>
  <si>
    <t>Oct</t>
  </si>
  <si>
    <t>Nov</t>
  </si>
  <si>
    <t>Dec</t>
  </si>
  <si>
    <t>Jan</t>
  </si>
  <si>
    <t>Feb</t>
  </si>
  <si>
    <t>Aug</t>
  </si>
  <si>
    <t>Mar</t>
  </si>
  <si>
    <t>Apr</t>
  </si>
  <si>
    <t>Jun</t>
  </si>
  <si>
    <t>Jul</t>
  </si>
  <si>
    <t>Sep</t>
  </si>
  <si>
    <t>Rapeseed production</t>
  </si>
  <si>
    <t>Rapeseed crush</t>
  </si>
  <si>
    <t>Rapeseed ending stocks</t>
  </si>
  <si>
    <t>2024/25 May*</t>
  </si>
  <si>
    <t>2024/25 June*</t>
  </si>
  <si>
    <t>Monthly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</si>
</sst>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0000"/>
    <numFmt numFmtId="175" formatCode="0.000000"/>
    <numFmt numFmtId="176" formatCode="0.0000000"/>
    <numFmt numFmtId="177" formatCode="_(* #,##0.0_);_(* \(#,##0.0\);_(* &quot;-&quot;_);_(@_)"/>
    <numFmt numFmtId="178" formatCode="_(* #,##0.000_);_(* \(#,##0.000\);_(* &quot;-&quot;???_);_(@_)"/>
    <numFmt numFmtId="179" formatCode="_(* #,##0.00_);_(* \(#,##0.00\);_(* &quot;-&quot;_);_(@_)"/>
    <numFmt numFmtId="180" formatCode="[$-409]mmm\-yy;@"/>
  </numFmts>
  <fonts count="1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6"/>
      <name val="Calibri"/>
      <family val="2"/>
    </font>
    <font>
      <b/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Helv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8">
    <xf numFmtId="0" fontId="0" fillId="0" borderId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0" fontId="57" fillId="0" borderId="0"/>
    <xf numFmtId="0" fontId="42" fillId="0" borderId="0"/>
    <xf numFmtId="0" fontId="41" fillId="0" borderId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4" fontId="43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43" fontId="30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6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68" fillId="0" borderId="8" applyNumberFormat="0" applyFont="0" applyProtection="0">
      <alignment wrapText="1"/>
    </xf>
    <xf numFmtId="43" fontId="2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Protection="0">
      <alignment vertical="top" wrapText="1"/>
    </xf>
    <xf numFmtId="0" fontId="68" fillId="0" borderId="9" applyNumberFormat="0" applyProtection="0">
      <alignment vertical="top" wrapText="1"/>
    </xf>
    <xf numFmtId="0" fontId="70" fillId="0" borderId="7" applyNumberFormat="0" applyProtection="0">
      <alignment wrapText="1"/>
    </xf>
    <xf numFmtId="0" fontId="70" fillId="0" borderId="10" applyNumberFormat="0" applyProtection="0">
      <alignment horizontal="left" wrapText="1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11" applyNumberFormat="0" applyProtection="0">
      <alignment wrapText="1"/>
    </xf>
    <xf numFmtId="0" fontId="68" fillId="0" borderId="12" applyNumberFormat="0" applyFont="0" applyFill="0" applyProtection="0">
      <alignment wrapText="1"/>
    </xf>
    <xf numFmtId="0" fontId="70" fillId="0" borderId="13" applyNumberFormat="0" applyFill="0" applyProtection="0">
      <alignment wrapText="1"/>
    </xf>
    <xf numFmtId="0" fontId="72" fillId="0" borderId="0" applyNumberFormat="0" applyProtection="0">
      <alignment horizontal="left"/>
    </xf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9" fillId="5" borderId="0" applyNumberFormat="0" applyBorder="0" applyAlignment="0" applyProtection="0"/>
    <xf numFmtId="0" fontId="80" fillId="6" borderId="16" applyNumberFormat="0" applyAlignment="0" applyProtection="0"/>
    <xf numFmtId="0" fontId="81" fillId="7" borderId="17" applyNumberFormat="0" applyAlignment="0" applyProtection="0"/>
    <xf numFmtId="0" fontId="82" fillId="7" borderId="16" applyNumberFormat="0" applyAlignment="0" applyProtection="0"/>
    <xf numFmtId="0" fontId="83" fillId="0" borderId="18" applyNumberFormat="0" applyFill="0" applyAlignment="0" applyProtection="0"/>
    <xf numFmtId="0" fontId="84" fillId="8" borderId="19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1" applyNumberFormat="0" applyFill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56" borderId="32" applyNumberFormat="0" applyFont="0" applyAlignment="0" applyProtection="0"/>
    <xf numFmtId="0" fontId="43" fillId="56" borderId="40" applyNumberFormat="0" applyFont="0" applyAlignment="0" applyProtection="0"/>
    <xf numFmtId="0" fontId="100" fillId="53" borderId="39" applyNumberFormat="0" applyAlignment="0" applyProtection="0"/>
    <xf numFmtId="0" fontId="1" fillId="9" borderId="20" applyNumberFormat="0" applyFont="0" applyAlignment="0" applyProtection="0"/>
    <xf numFmtId="0" fontId="100" fillId="53" borderId="31" applyNumberFormat="0" applyAlignment="0" applyProtection="0"/>
    <xf numFmtId="0" fontId="90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8" fillId="33" borderId="0" applyNumberFormat="0" applyBorder="0" applyAlignment="0" applyProtection="0"/>
    <xf numFmtId="43" fontId="93" fillId="0" borderId="0" applyFont="0" applyFill="0" applyBorder="0" applyAlignment="0" applyProtection="0"/>
    <xf numFmtId="0" fontId="88" fillId="29" borderId="0" applyNumberFormat="0" applyBorder="0" applyAlignment="0" applyProtection="0"/>
    <xf numFmtId="43" fontId="1" fillId="0" borderId="0" applyFont="0" applyFill="0" applyBorder="0" applyAlignment="0" applyProtection="0"/>
    <xf numFmtId="0" fontId="88" fillId="25" borderId="0" applyNumberFormat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88" fillId="21" borderId="0" applyNumberFormat="0" applyBorder="0" applyAlignment="0" applyProtection="0"/>
    <xf numFmtId="43" fontId="93" fillId="0" borderId="0" applyFont="0" applyFill="0" applyBorder="0" applyAlignment="0" applyProtection="0"/>
    <xf numFmtId="0" fontId="88" fillId="17" borderId="0" applyNumberFormat="0" applyBorder="0" applyAlignment="0" applyProtection="0"/>
    <xf numFmtId="43" fontId="93" fillId="0" borderId="0" applyFont="0" applyFill="0" applyBorder="0" applyAlignment="0" applyProtection="0"/>
    <xf numFmtId="0" fontId="88" fillId="13" borderId="0" applyNumberFormat="0" applyBorder="0" applyAlignment="0" applyProtection="0"/>
    <xf numFmtId="43" fontId="9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4" fillId="5" borderId="0" applyNumberFormat="0" applyBorder="0" applyAlignment="0" applyProtection="0"/>
    <xf numFmtId="0" fontId="90" fillId="0" borderId="0"/>
    <xf numFmtId="0" fontId="90" fillId="0" borderId="0"/>
    <xf numFmtId="0" fontId="43" fillId="0" borderId="0">
      <alignment vertical="center"/>
    </xf>
    <xf numFmtId="0" fontId="1" fillId="0" borderId="0"/>
    <xf numFmtId="0" fontId="1" fillId="9" borderId="20" applyNumberFormat="0" applyFont="0" applyAlignment="0" applyProtection="0"/>
    <xf numFmtId="0" fontId="95" fillId="0" borderId="0" applyNumberFormat="0" applyFill="0" applyBorder="0" applyAlignment="0" applyProtection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33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90" fillId="0" borderId="0"/>
    <xf numFmtId="0" fontId="96" fillId="0" borderId="0"/>
    <xf numFmtId="0" fontId="1" fillId="0" borderId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88" fillId="21" borderId="0" applyNumberFormat="0" applyBorder="0" applyAlignment="0" applyProtection="0"/>
    <xf numFmtId="0" fontId="88" fillId="25" borderId="0" applyNumberFormat="0" applyBorder="0" applyAlignment="0" applyProtection="0"/>
    <xf numFmtId="0" fontId="88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9" borderId="20" applyNumberFormat="0" applyFont="0" applyAlignment="0" applyProtection="0"/>
    <xf numFmtId="0" fontId="93" fillId="35" borderId="0" applyNumberFormat="0" applyBorder="0" applyAlignment="0" applyProtection="0"/>
    <xf numFmtId="0" fontId="93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8" borderId="0" applyNumberFormat="0" applyBorder="0" applyAlignment="0" applyProtection="0"/>
    <xf numFmtId="0" fontId="93" fillId="39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2" borderId="0" applyNumberFormat="0" applyBorder="0" applyAlignment="0" applyProtection="0"/>
    <xf numFmtId="0" fontId="93" fillId="43" borderId="0" applyNumberFormat="0" applyBorder="0" applyAlignment="0" applyProtection="0"/>
    <xf numFmtId="0" fontId="93" fillId="38" borderId="0" applyNumberFormat="0" applyBorder="0" applyAlignment="0" applyProtection="0"/>
    <xf numFmtId="0" fontId="93" fillId="41" borderId="0" applyNumberFormat="0" applyBorder="0" applyAlignment="0" applyProtection="0"/>
    <xf numFmtId="0" fontId="93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0" borderId="0" applyNumberFormat="0" applyBorder="0" applyAlignment="0" applyProtection="0"/>
    <xf numFmtId="0" fontId="98" fillId="51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52" borderId="0" applyNumberFormat="0" applyBorder="0" applyAlignment="0" applyProtection="0"/>
    <xf numFmtId="0" fontId="99" fillId="36" borderId="0" applyNumberFormat="0" applyBorder="0" applyAlignment="0" applyProtection="0"/>
    <xf numFmtId="0" fontId="100" fillId="53" borderId="22" applyNumberFormat="0" applyAlignment="0" applyProtection="0"/>
    <xf numFmtId="0" fontId="101" fillId="54" borderId="23" applyNumberFormat="0" applyAlignment="0" applyProtection="0"/>
    <xf numFmtId="43" fontId="43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37" borderId="0" applyNumberFormat="0" applyBorder="0" applyAlignment="0" applyProtection="0"/>
    <xf numFmtId="0" fontId="104" fillId="0" borderId="24" applyNumberFormat="0" applyFill="0" applyAlignment="0" applyProtection="0"/>
    <xf numFmtId="0" fontId="105" fillId="0" borderId="25" applyNumberFormat="0" applyFill="0" applyAlignment="0" applyProtection="0"/>
    <xf numFmtId="0" fontId="106" fillId="0" borderId="26" applyNumberFormat="0" applyFill="0" applyAlignment="0" applyProtection="0"/>
    <xf numFmtId="0" fontId="106" fillId="0" borderId="0" applyNumberFormat="0" applyFill="0" applyBorder="0" applyAlignment="0" applyProtection="0"/>
    <xf numFmtId="0" fontId="107" fillId="40" borderId="22" applyNumberFormat="0" applyAlignment="0" applyProtection="0"/>
    <xf numFmtId="0" fontId="108" fillId="0" borderId="27" applyNumberFormat="0" applyFill="0" applyAlignment="0" applyProtection="0"/>
    <xf numFmtId="0" fontId="109" fillId="55" borderId="0" applyNumberFormat="0" applyBorder="0" applyAlignment="0" applyProtection="0"/>
    <xf numFmtId="0" fontId="43" fillId="0" borderId="0"/>
    <xf numFmtId="0" fontId="43" fillId="56" borderId="28" applyNumberFormat="0" applyFont="0" applyAlignment="0" applyProtection="0"/>
    <xf numFmtId="0" fontId="43" fillId="56" borderId="28" applyNumberFormat="0" applyFont="0" applyAlignment="0" applyProtection="0"/>
    <xf numFmtId="0" fontId="110" fillId="53" borderId="29" applyNumberFormat="0" applyAlignment="0" applyProtection="0"/>
    <xf numFmtId="9" fontId="4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0" applyNumberFormat="0" applyFill="0" applyAlignment="0" applyProtection="0"/>
    <xf numFmtId="0" fontId="113" fillId="0" borderId="0" applyNumberForma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95" fillId="0" borderId="0" applyNumberFormat="0" applyFill="0" applyBorder="0" applyAlignment="0" applyProtection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0" borderId="0"/>
    <xf numFmtId="0" fontId="1" fillId="9" borderId="20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20" applyNumberFormat="0" applyFont="0" applyAlignment="0" applyProtection="0"/>
    <xf numFmtId="0" fontId="107" fillId="40" borderId="39" applyNumberFormat="0" applyAlignment="0" applyProtection="0"/>
    <xf numFmtId="0" fontId="43" fillId="56" borderId="36" applyNumberFormat="0" applyFont="0" applyAlignment="0" applyProtection="0"/>
    <xf numFmtId="0" fontId="110" fillId="53" borderId="37" applyNumberFormat="0" applyAlignment="0" applyProtection="0"/>
    <xf numFmtId="0" fontId="110" fillId="53" borderId="41" applyNumberFormat="0" applyAlignment="0" applyProtection="0"/>
    <xf numFmtId="0" fontId="112" fillId="0" borderId="42" applyNumberFormat="0" applyFill="0" applyAlignment="0" applyProtection="0"/>
    <xf numFmtId="0" fontId="112" fillId="0" borderId="34" applyNumberFormat="0" applyFill="0" applyAlignment="0" applyProtection="0"/>
    <xf numFmtId="0" fontId="43" fillId="56" borderId="40" applyNumberFormat="0" applyFont="0" applyAlignment="0" applyProtection="0"/>
    <xf numFmtId="0" fontId="100" fillId="53" borderId="35" applyNumberFormat="0" applyAlignment="0" applyProtection="0"/>
    <xf numFmtId="0" fontId="43" fillId="56" borderId="32" applyNumberFormat="0" applyFont="0" applyAlignment="0" applyProtection="0"/>
    <xf numFmtId="0" fontId="112" fillId="0" borderId="38" applyNumberFormat="0" applyFill="0" applyAlignment="0" applyProtection="0"/>
    <xf numFmtId="0" fontId="107" fillId="40" borderId="31" applyNumberFormat="0" applyAlignment="0" applyProtection="0"/>
    <xf numFmtId="0" fontId="43" fillId="56" borderId="36" applyNumberFormat="0" applyFont="0" applyAlignment="0" applyProtection="0"/>
    <xf numFmtId="0" fontId="110" fillId="53" borderId="33" applyNumberFormat="0" applyAlignment="0" applyProtection="0"/>
    <xf numFmtId="0" fontId="107" fillId="40" borderId="35" applyNumberFormat="0" applyAlignment="0" applyProtection="0"/>
  </cellStyleXfs>
  <cellXfs count="191">
    <xf numFmtId="0" fontId="0" fillId="0" borderId="0" xfId="0"/>
    <xf numFmtId="0" fontId="44" fillId="0" borderId="0" xfId="8"/>
    <xf numFmtId="0" fontId="45" fillId="0" borderId="0" xfId="8" applyFont="1"/>
    <xf numFmtId="0" fontId="50" fillId="0" borderId="0" xfId="8" applyFont="1"/>
    <xf numFmtId="0" fontId="51" fillId="0" borderId="0" xfId="8" applyFont="1"/>
    <xf numFmtId="169" fontId="52" fillId="0" borderId="0" xfId="1" applyNumberFormat="1" applyFont="1" applyFill="1" applyBorder="1" applyAlignment="1">
      <alignment horizontal="center"/>
    </xf>
    <xf numFmtId="169" fontId="52" fillId="0" borderId="0" xfId="1" applyNumberFormat="1" applyFont="1" applyFill="1" applyBorder="1" applyAlignment="1">
      <alignment horizontal="right" indent="1"/>
    </xf>
    <xf numFmtId="0" fontId="58" fillId="0" borderId="0" xfId="7" applyFont="1" applyAlignment="1">
      <alignment horizontal="left"/>
    </xf>
    <xf numFmtId="0" fontId="59" fillId="0" borderId="0" xfId="5" applyFont="1" applyAlignment="1" applyProtection="1"/>
    <xf numFmtId="14" fontId="58" fillId="0" borderId="0" xfId="7" applyNumberFormat="1" applyFont="1" applyAlignment="1">
      <alignment horizontal="left"/>
    </xf>
    <xf numFmtId="0" fontId="59" fillId="0" borderId="0" xfId="4" applyFont="1" applyAlignment="1" applyProtection="1"/>
    <xf numFmtId="0" fontId="52" fillId="0" borderId="0" xfId="7" quotePrefix="1" applyFont="1" applyAlignment="1">
      <alignment horizontal="left"/>
    </xf>
    <xf numFmtId="0" fontId="52" fillId="0" borderId="0" xfId="8" applyFont="1" applyAlignment="1">
      <alignment wrapText="1"/>
    </xf>
    <xf numFmtId="169" fontId="52" fillId="0" borderId="0" xfId="1" applyNumberFormat="1" applyFont="1" applyFill="1" applyBorder="1" applyAlignment="1">
      <alignment horizontal="right"/>
    </xf>
    <xf numFmtId="0" fontId="52" fillId="0" borderId="1" xfId="0" applyFont="1" applyBorder="1"/>
    <xf numFmtId="0" fontId="52" fillId="0" borderId="0" xfId="0" applyFont="1"/>
    <xf numFmtId="0" fontId="52" fillId="0" borderId="2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0" fillId="0" borderId="2" xfId="0" applyBorder="1"/>
    <xf numFmtId="0" fontId="52" fillId="0" borderId="2" xfId="0" applyFont="1" applyBorder="1" applyAlignment="1">
      <alignment horizontal="left"/>
    </xf>
    <xf numFmtId="0" fontId="52" fillId="0" borderId="0" xfId="0" applyFont="1" applyAlignment="1">
      <alignment horizontal="right"/>
    </xf>
    <xf numFmtId="16" fontId="52" fillId="0" borderId="1" xfId="0" quotePrefix="1" applyNumberFormat="1" applyFont="1" applyBorder="1"/>
    <xf numFmtId="16" fontId="52" fillId="0" borderId="1" xfId="0" applyNumberFormat="1" applyFont="1" applyBorder="1"/>
    <xf numFmtId="0" fontId="52" fillId="0" borderId="1" xfId="0" applyFont="1" applyBorder="1" applyAlignment="1">
      <alignment horizontal="center"/>
    </xf>
    <xf numFmtId="0" fontId="52" fillId="0" borderId="1" xfId="0" applyFont="1" applyBorder="1" applyAlignment="1">
      <alignment horizontal="right"/>
    </xf>
    <xf numFmtId="0" fontId="52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53" fillId="0" borderId="0" xfId="0" quotePrefix="1" applyFont="1" applyAlignment="1">
      <alignment horizontal="right"/>
    </xf>
    <xf numFmtId="3" fontId="52" fillId="0" borderId="0" xfId="1" applyNumberFormat="1" applyFont="1" applyFill="1" applyBorder="1" applyAlignment="1">
      <alignment horizontal="right" indent="1"/>
    </xf>
    <xf numFmtId="164" fontId="52" fillId="0" borderId="0" xfId="1" applyNumberFormat="1" applyFont="1" applyFill="1" applyBorder="1"/>
    <xf numFmtId="164" fontId="52" fillId="0" borderId="0" xfId="1" applyNumberFormat="1" applyFont="1" applyFill="1" applyBorder="1" applyAlignment="1">
      <alignment horizontal="right"/>
    </xf>
    <xf numFmtId="0" fontId="58" fillId="0" borderId="0" xfId="0" applyFont="1"/>
    <xf numFmtId="169" fontId="52" fillId="0" borderId="0" xfId="1" quotePrefix="1" applyNumberFormat="1" applyFont="1" applyFill="1" applyBorder="1" applyAlignment="1">
      <alignment horizontal="right"/>
    </xf>
    <xf numFmtId="164" fontId="52" fillId="0" borderId="0" xfId="1" applyNumberFormat="1" applyFont="1" applyFill="1" applyBorder="1" applyAlignment="1">
      <alignment horizontal="center"/>
    </xf>
    <xf numFmtId="164" fontId="52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52" fillId="0" borderId="0" xfId="1" applyNumberFormat="1" applyFont="1" applyFill="1"/>
    <xf numFmtId="14" fontId="52" fillId="0" borderId="0" xfId="0" applyNumberFormat="1" applyFont="1" applyAlignment="1">
      <alignment horizontal="left"/>
    </xf>
    <xf numFmtId="3" fontId="52" fillId="0" borderId="0" xfId="1" applyNumberFormat="1" applyFont="1" applyFill="1" applyAlignment="1">
      <alignment horizontal="right" indent="2"/>
    </xf>
    <xf numFmtId="3" fontId="52" fillId="0" borderId="0" xfId="1" applyNumberFormat="1" applyFont="1" applyFill="1" applyAlignment="1">
      <alignment horizontal="right" indent="1"/>
    </xf>
    <xf numFmtId="3" fontId="52" fillId="0" borderId="0" xfId="1" applyNumberFormat="1" applyFont="1" applyFill="1" applyAlignment="1">
      <alignment horizontal="center"/>
    </xf>
    <xf numFmtId="169" fontId="52" fillId="0" borderId="0" xfId="1" applyNumberFormat="1" applyFont="1" applyFill="1" applyBorder="1" applyAlignment="1">
      <alignment horizontal="right" indent="2"/>
    </xf>
    <xf numFmtId="0" fontId="54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52" fillId="0" borderId="1" xfId="1" applyNumberFormat="1" applyFont="1" applyFill="1" applyBorder="1" applyAlignment="1">
      <alignment horizontal="right"/>
    </xf>
    <xf numFmtId="16" fontId="52" fillId="0" borderId="0" xfId="0" applyNumberFormat="1" applyFont="1"/>
    <xf numFmtId="0" fontId="53" fillId="0" borderId="0" xfId="0" applyFont="1" applyAlignment="1">
      <alignment horizontal="center"/>
    </xf>
    <xf numFmtId="2" fontId="52" fillId="0" borderId="0" xfId="0" applyNumberFormat="1" applyFont="1" applyAlignment="1">
      <alignment horizontal="right" indent="2"/>
    </xf>
    <xf numFmtId="170" fontId="52" fillId="0" borderId="0" xfId="0" applyNumberFormat="1" applyFont="1"/>
    <xf numFmtId="43" fontId="52" fillId="0" borderId="0" xfId="1" quotePrefix="1" applyFont="1" applyFill="1" applyBorder="1" applyAlignment="1">
      <alignment horizontal="center"/>
    </xf>
    <xf numFmtId="166" fontId="52" fillId="0" borderId="0" xfId="1" quotePrefix="1" applyNumberFormat="1" applyFont="1" applyFill="1" applyBorder="1" applyAlignment="1">
      <alignment horizontal="center"/>
    </xf>
    <xf numFmtId="43" fontId="52" fillId="0" borderId="0" xfId="1" applyFont="1" applyFill="1" applyBorder="1" applyAlignment="1">
      <alignment horizontal="center"/>
    </xf>
    <xf numFmtId="0" fontId="58" fillId="0" borderId="0" xfId="0" quotePrefix="1" applyFon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indent="1"/>
    </xf>
    <xf numFmtId="0" fontId="52" fillId="0" borderId="3" xfId="0" applyFont="1" applyBorder="1" applyAlignment="1">
      <alignment horizontal="center"/>
    </xf>
    <xf numFmtId="0" fontId="52" fillId="0" borderId="1" xfId="0" applyFont="1" applyBorder="1" applyAlignment="1">
      <alignment horizontal="left"/>
    </xf>
    <xf numFmtId="0" fontId="53" fillId="0" borderId="3" xfId="0" quotePrefix="1" applyFont="1" applyBorder="1"/>
    <xf numFmtId="0" fontId="53" fillId="0" borderId="3" xfId="0" applyFont="1" applyBorder="1"/>
    <xf numFmtId="2" fontId="52" fillId="0" borderId="0" xfId="0" applyNumberFormat="1" applyFont="1" applyAlignment="1">
      <alignment horizontal="center"/>
    </xf>
    <xf numFmtId="43" fontId="52" fillId="0" borderId="0" xfId="0" applyNumberFormat="1" applyFont="1"/>
    <xf numFmtId="0" fontId="47" fillId="0" borderId="0" xfId="0" applyFont="1"/>
    <xf numFmtId="2" fontId="0" fillId="0" borderId="0" xfId="0" applyNumberFormat="1"/>
    <xf numFmtId="165" fontId="52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6" fillId="0" borderId="0" xfId="0" applyFont="1" applyAlignment="1">
      <alignment vertical="center"/>
    </xf>
    <xf numFmtId="2" fontId="52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52" fillId="0" borderId="3" xfId="0" applyFont="1" applyBorder="1"/>
    <xf numFmtId="165" fontId="52" fillId="0" borderId="0" xfId="1" applyNumberFormat="1" applyFont="1" applyFill="1"/>
    <xf numFmtId="37" fontId="52" fillId="0" borderId="0" xfId="1" applyNumberFormat="1" applyFont="1" applyFill="1" applyBorder="1" applyAlignment="1">
      <alignment horizontal="center"/>
    </xf>
    <xf numFmtId="165" fontId="52" fillId="0" borderId="0" xfId="1" applyNumberFormat="1" applyFont="1" applyFill="1" applyBorder="1"/>
    <xf numFmtId="9" fontId="52" fillId="0" borderId="0" xfId="12" applyFont="1" applyFill="1"/>
    <xf numFmtId="0" fontId="53" fillId="0" borderId="4" xfId="0" applyFont="1" applyBorder="1" applyAlignment="1">
      <alignment horizontal="center"/>
    </xf>
    <xf numFmtId="14" fontId="52" fillId="0" borderId="0" xfId="0" applyNumberFormat="1" applyFont="1" applyAlignment="1">
      <alignment horizontal="right" inden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169" fontId="52" fillId="0" borderId="0" xfId="1" applyNumberFormat="1" applyFont="1" applyFill="1" applyAlignment="1">
      <alignment horizontal="center"/>
    </xf>
    <xf numFmtId="0" fontId="54" fillId="0" borderId="3" xfId="0" applyFont="1" applyBorder="1"/>
    <xf numFmtId="164" fontId="52" fillId="0" borderId="3" xfId="0" applyNumberFormat="1" applyFont="1" applyBorder="1"/>
    <xf numFmtId="171" fontId="0" fillId="0" borderId="0" xfId="1" applyNumberFormat="1" applyFont="1" applyFill="1" applyBorder="1"/>
    <xf numFmtId="0" fontId="43" fillId="0" borderId="0" xfId="8" applyFont="1"/>
    <xf numFmtId="0" fontId="43" fillId="0" borderId="0" xfId="0" applyFont="1"/>
    <xf numFmtId="4" fontId="61" fillId="0" borderId="0" xfId="0" applyNumberFormat="1" applyFont="1"/>
    <xf numFmtId="172" fontId="47" fillId="0" borderId="0" xfId="12" applyNumberFormat="1" applyFont="1" applyFill="1"/>
    <xf numFmtId="4" fontId="0" fillId="0" borderId="0" xfId="0" applyNumberFormat="1"/>
    <xf numFmtId="173" fontId="61" fillId="0" borderId="0" xfId="0" applyNumberFormat="1" applyFont="1"/>
    <xf numFmtId="164" fontId="52" fillId="2" borderId="0" xfId="1" applyNumberFormat="1" applyFont="1" applyFill="1" applyBorder="1" applyAlignment="1">
      <alignment horizontal="center"/>
    </xf>
    <xf numFmtId="2" fontId="60" fillId="0" borderId="0" xfId="0" applyNumberFormat="1" applyFont="1" applyAlignment="1">
      <alignment horizontal="center"/>
    </xf>
    <xf numFmtId="37" fontId="52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60" fillId="0" borderId="0" xfId="0" applyNumberFormat="1" applyFont="1" applyAlignment="1">
      <alignment horizontal="right" indent="2"/>
    </xf>
    <xf numFmtId="9" fontId="0" fillId="0" borderId="0" xfId="12" applyFont="1"/>
    <xf numFmtId="3" fontId="60" fillId="0" borderId="0" xfId="1" applyNumberFormat="1" applyFont="1" applyFill="1" applyBorder="1" applyAlignment="1">
      <alignment horizontal="right"/>
    </xf>
    <xf numFmtId="3" fontId="43" fillId="0" borderId="0" xfId="0" applyNumberFormat="1" applyFont="1"/>
    <xf numFmtId="3" fontId="52" fillId="0" borderId="0" xfId="1" quotePrefix="1" applyNumberFormat="1" applyFont="1" applyFill="1" applyBorder="1" applyAlignment="1">
      <alignment horizontal="right"/>
    </xf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69" fontId="52" fillId="0" borderId="0" xfId="1" applyNumberFormat="1" applyFont="1" applyAlignment="1">
      <alignment horizontal="right" indent="1"/>
    </xf>
    <xf numFmtId="167" fontId="52" fillId="0" borderId="0" xfId="0" applyNumberFormat="1" applyFont="1"/>
    <xf numFmtId="169" fontId="60" fillId="0" borderId="0" xfId="1" applyNumberFormat="1" applyFont="1" applyFill="1" applyBorder="1" applyAlignment="1">
      <alignment horizontal="right" indent="1"/>
    </xf>
    <xf numFmtId="0" fontId="64" fillId="0" borderId="0" xfId="0" applyFont="1"/>
    <xf numFmtId="169" fontId="52" fillId="0" borderId="0" xfId="1" applyNumberFormat="1" applyFont="1" applyFill="1" applyAlignment="1">
      <alignment horizontal="right" indent="1"/>
    </xf>
    <xf numFmtId="172" fontId="52" fillId="0" borderId="0" xfId="12" applyNumberFormat="1" applyFont="1" applyFill="1" applyBorder="1"/>
    <xf numFmtId="164" fontId="60" fillId="0" borderId="0" xfId="1" applyNumberFormat="1" applyFont="1"/>
    <xf numFmtId="169" fontId="52" fillId="2" borderId="0" xfId="1" applyNumberFormat="1" applyFont="1" applyFill="1" applyBorder="1" applyAlignment="1">
      <alignment horizontal="right" indent="2"/>
    </xf>
    <xf numFmtId="169" fontId="52" fillId="2" borderId="0" xfId="1" applyNumberFormat="1" applyFont="1" applyFill="1" applyBorder="1" applyAlignment="1">
      <alignment horizontal="right" indent="1"/>
    </xf>
    <xf numFmtId="169" fontId="65" fillId="0" borderId="0" xfId="1" applyNumberFormat="1" applyFont="1" applyFill="1" applyBorder="1" applyAlignment="1">
      <alignment horizontal="right"/>
    </xf>
    <xf numFmtId="41" fontId="62" fillId="0" borderId="0" xfId="33" applyNumberFormat="1" applyFont="1" applyFill="1"/>
    <xf numFmtId="167" fontId="52" fillId="0" borderId="0" xfId="0" applyNumberFormat="1" applyFont="1" applyAlignment="1">
      <alignment horizontal="center"/>
    </xf>
    <xf numFmtId="165" fontId="52" fillId="0" borderId="0" xfId="1" applyNumberFormat="1" applyFont="1" applyFill="1" applyAlignment="1">
      <alignment horizontal="left"/>
    </xf>
    <xf numFmtId="165" fontId="52" fillId="0" borderId="0" xfId="1" applyNumberFormat="1" applyFont="1" applyFill="1" applyAlignment="1">
      <alignment horizontal="center"/>
    </xf>
    <xf numFmtId="169" fontId="60" fillId="0" borderId="0" xfId="1" applyNumberFormat="1" applyFont="1" applyFill="1" applyBorder="1" applyAlignment="1">
      <alignment horizontal="right"/>
    </xf>
    <xf numFmtId="37" fontId="52" fillId="0" borderId="0" xfId="1" applyNumberFormat="1" applyFont="1" applyFill="1" applyBorder="1" applyAlignment="1">
      <alignment horizontal="right" indent="2"/>
    </xf>
    <xf numFmtId="37" fontId="52" fillId="0" borderId="0" xfId="1" applyNumberFormat="1" applyFont="1" applyFill="1" applyBorder="1" applyAlignment="1">
      <alignment horizontal="right" indent="1"/>
    </xf>
    <xf numFmtId="37" fontId="52" fillId="0" borderId="0" xfId="0" applyNumberFormat="1" applyFont="1"/>
    <xf numFmtId="37" fontId="52" fillId="0" borderId="0" xfId="1" applyNumberFormat="1" applyFont="1" applyFill="1" applyAlignment="1">
      <alignment horizontal="center"/>
    </xf>
    <xf numFmtId="1" fontId="52" fillId="0" borderId="0" xfId="0" applyNumberFormat="1" applyFont="1" applyAlignment="1">
      <alignment horizontal="center"/>
    </xf>
    <xf numFmtId="37" fontId="0" fillId="0" borderId="0" xfId="0" applyNumberFormat="1"/>
    <xf numFmtId="43" fontId="52" fillId="0" borderId="3" xfId="0" applyNumberFormat="1" applyFont="1" applyBorder="1"/>
    <xf numFmtId="0" fontId="0" fillId="0" borderId="3" xfId="0" applyBorder="1"/>
    <xf numFmtId="168" fontId="52" fillId="0" borderId="3" xfId="0" applyNumberFormat="1" applyFont="1" applyBorder="1"/>
    <xf numFmtId="164" fontId="60" fillId="0" borderId="0" xfId="1" applyNumberFormat="1" applyFont="1" applyAlignment="1">
      <alignment horizontal="right"/>
    </xf>
    <xf numFmtId="164" fontId="52" fillId="0" borderId="0" xfId="1" applyNumberFormat="1" applyFont="1" applyFill="1" applyBorder="1" applyAlignment="1">
      <alignment horizontal="right" indent="1"/>
    </xf>
    <xf numFmtId="0" fontId="52" fillId="0" borderId="2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3" xfId="0" quotePrefix="1" applyFont="1" applyBorder="1" applyAlignment="1">
      <alignment horizontal="center"/>
    </xf>
    <xf numFmtId="0" fontId="63" fillId="0" borderId="1" xfId="78" applyFont="1" applyBorder="1" applyAlignment="1">
      <alignment horizontal="center" wrapText="1"/>
    </xf>
    <xf numFmtId="0" fontId="62" fillId="0" borderId="0" xfId="78" applyFont="1"/>
    <xf numFmtId="0" fontId="62" fillId="0" borderId="0" xfId="78" applyFont="1" applyAlignment="1">
      <alignment horizontal="center"/>
    </xf>
    <xf numFmtId="177" fontId="62" fillId="0" borderId="0" xfId="33" applyNumberFormat="1" applyFont="1" applyFill="1"/>
    <xf numFmtId="177" fontId="62" fillId="0" borderId="0" xfId="78" applyNumberFormat="1" applyFont="1"/>
    <xf numFmtId="177" fontId="66" fillId="0" borderId="0" xfId="1" applyNumberFormat="1" applyFont="1" applyFill="1"/>
    <xf numFmtId="177" fontId="62" fillId="0" borderId="0" xfId="33" applyNumberFormat="1" applyFont="1" applyFill="1" applyAlignment="1">
      <alignment horizontal="center"/>
    </xf>
    <xf numFmtId="41" fontId="62" fillId="0" borderId="0" xfId="33" applyNumberFormat="1" applyFont="1" applyFill="1" applyAlignment="1">
      <alignment horizontal="center"/>
    </xf>
    <xf numFmtId="43" fontId="62" fillId="0" borderId="0" xfId="78" applyNumberFormat="1" applyFont="1"/>
    <xf numFmtId="164" fontId="62" fillId="0" borderId="0" xfId="78" applyNumberFormat="1" applyFont="1"/>
    <xf numFmtId="178" fontId="62" fillId="0" borderId="0" xfId="78" applyNumberFormat="1" applyFont="1"/>
    <xf numFmtId="0" fontId="63" fillId="0" borderId="0" xfId="78" applyFont="1"/>
    <xf numFmtId="172" fontId="62" fillId="0" borderId="0" xfId="12" applyNumberFormat="1" applyFont="1"/>
    <xf numFmtId="179" fontId="62" fillId="0" borderId="0" xfId="33" applyNumberFormat="1" applyFont="1" applyFill="1" applyAlignment="1">
      <alignment horizontal="center"/>
    </xf>
    <xf numFmtId="3" fontId="52" fillId="0" borderId="0" xfId="1" applyNumberFormat="1" applyFont="1" applyFill="1" applyAlignment="1">
      <alignment horizontal="right"/>
    </xf>
    <xf numFmtId="9" fontId="0" fillId="0" borderId="0" xfId="12" applyFont="1" applyFill="1"/>
    <xf numFmtId="43" fontId="64" fillId="0" borderId="0" xfId="78" applyNumberFormat="1" applyFont="1"/>
    <xf numFmtId="0" fontId="43" fillId="0" borderId="0" xfId="20" applyAlignment="1">
      <alignment horizontal="center"/>
    </xf>
    <xf numFmtId="0" fontId="43" fillId="0" borderId="0" xfId="20"/>
    <xf numFmtId="17" fontId="43" fillId="0" borderId="0" xfId="20" applyNumberFormat="1" applyAlignment="1">
      <alignment horizontal="left"/>
    </xf>
    <xf numFmtId="41" fontId="43" fillId="0" borderId="0" xfId="20" applyNumberFormat="1"/>
    <xf numFmtId="41" fontId="62" fillId="0" borderId="0" xfId="33" applyNumberFormat="1" applyFont="1" applyFill="1" applyAlignment="1">
      <alignment horizontal="center" vertical="center"/>
    </xf>
    <xf numFmtId="1" fontId="43" fillId="0" borderId="0" xfId="20" applyNumberFormat="1"/>
    <xf numFmtId="2" fontId="64" fillId="0" borderId="0" xfId="0" applyNumberFormat="1" applyFont="1"/>
    <xf numFmtId="177" fontId="43" fillId="0" borderId="0" xfId="20" applyNumberFormat="1"/>
    <xf numFmtId="165" fontId="52" fillId="0" borderId="0" xfId="1" applyNumberFormat="1" applyFont="1" applyAlignment="1">
      <alignment horizontal="right" indent="2"/>
    </xf>
    <xf numFmtId="180" fontId="0" fillId="0" borderId="0" xfId="0" applyNumberFormat="1"/>
    <xf numFmtId="0" fontId="90" fillId="0" borderId="0" xfId="231" applyFont="1" applyAlignment="1">
      <alignment horizontal="center" vertical="center"/>
    </xf>
    <xf numFmtId="3" fontId="89" fillId="0" borderId="0" xfId="231" applyNumberFormat="1" applyFont="1"/>
    <xf numFmtId="169" fontId="89" fillId="0" borderId="0" xfId="231" applyNumberFormat="1" applyFont="1"/>
    <xf numFmtId="3" fontId="91" fillId="0" borderId="0" xfId="231" applyNumberFormat="1" applyFont="1"/>
    <xf numFmtId="49" fontId="50" fillId="0" borderId="1" xfId="231" applyNumberFormat="1" applyFont="1" applyBorder="1" applyAlignment="1">
      <alignment horizontal="center"/>
    </xf>
    <xf numFmtId="49" fontId="90" fillId="0" borderId="0" xfId="231" applyNumberFormat="1" applyFont="1" applyAlignment="1">
      <alignment horizontal="center"/>
    </xf>
    <xf numFmtId="3" fontId="114" fillId="0" borderId="0" xfId="231" applyNumberFormat="1" applyFont="1"/>
    <xf numFmtId="3" fontId="62" fillId="0" borderId="0" xfId="231" applyNumberFormat="1" applyFont="1"/>
    <xf numFmtId="0" fontId="43" fillId="0" borderId="0" xfId="231" applyFont="1" applyAlignment="1">
      <alignment horizontal="center" vertical="center"/>
    </xf>
    <xf numFmtId="0" fontId="63" fillId="0" borderId="1" xfId="82" applyFont="1" applyBorder="1" applyAlignment="1">
      <alignment horizontal="center" wrapText="1"/>
    </xf>
    <xf numFmtId="1" fontId="89" fillId="0" borderId="0" xfId="231" applyNumberFormat="1" applyFont="1"/>
    <xf numFmtId="1" fontId="89" fillId="34" borderId="0" xfId="231" applyNumberFormat="1" applyFont="1" applyFill="1"/>
    <xf numFmtId="41" fontId="62" fillId="0" borderId="0" xfId="33" applyNumberFormat="1" applyFont="1" applyAlignment="1">
      <alignment horizontal="center" vertical="center"/>
    </xf>
    <xf numFmtId="165" fontId="60" fillId="0" borderId="0" xfId="1" applyNumberFormat="1" applyFont="1" applyFill="1" applyAlignment="1">
      <alignment horizontal="center"/>
    </xf>
    <xf numFmtId="165" fontId="0" fillId="0" borderId="0" xfId="0" applyNumberFormat="1"/>
    <xf numFmtId="3" fontId="0" fillId="0" borderId="0" xfId="0" applyNumberFormat="1"/>
    <xf numFmtId="172" fontId="0" fillId="0" borderId="0" xfId="12" applyNumberFormat="1" applyFont="1" applyFill="1"/>
    <xf numFmtId="10" fontId="0" fillId="0" borderId="0" xfId="12" applyNumberFormat="1" applyFont="1" applyFill="1"/>
    <xf numFmtId="37" fontId="52" fillId="0" borderId="1" xfId="1" applyNumberFormat="1" applyFont="1" applyFill="1" applyBorder="1" applyAlignment="1">
      <alignment horizontal="center"/>
    </xf>
    <xf numFmtId="37" fontId="52" fillId="0" borderId="1" xfId="1" applyNumberFormat="1" applyFont="1" applyFill="1" applyBorder="1" applyAlignment="1">
      <alignment horizontal="right" indent="2"/>
    </xf>
    <xf numFmtId="165" fontId="52" fillId="0" borderId="1" xfId="1" applyNumberFormat="1" applyFont="1" applyFill="1" applyBorder="1"/>
    <xf numFmtId="37" fontId="52" fillId="0" borderId="1" xfId="1" applyNumberFormat="1" applyFont="1" applyFill="1" applyBorder="1" applyAlignment="1">
      <alignment horizontal="right" indent="1"/>
    </xf>
    <xf numFmtId="1" fontId="52" fillId="0" borderId="1" xfId="0" applyNumberFormat="1" applyFont="1" applyBorder="1" applyAlignment="1">
      <alignment horizontal="center"/>
    </xf>
    <xf numFmtId="179" fontId="62" fillId="0" borderId="0" xfId="33" applyNumberFormat="1" applyFont="1" applyFill="1" applyAlignment="1">
      <alignment horizontal="center" vertical="center"/>
    </xf>
    <xf numFmtId="0" fontId="52" fillId="0" borderId="2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2" xfId="0" quotePrefix="1" applyFont="1" applyBorder="1" applyAlignment="1">
      <alignment horizontal="center"/>
    </xf>
    <xf numFmtId="0" fontId="53" fillId="0" borderId="3" xfId="0" quotePrefix="1" applyFont="1" applyBorder="1" applyAlignment="1">
      <alignment horizontal="center"/>
    </xf>
    <xf numFmtId="0" fontId="53" fillId="0" borderId="5" xfId="0" quotePrefix="1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5" xfId="0" applyFont="1" applyBorder="1" applyAlignment="1">
      <alignment horizontal="center"/>
    </xf>
  </cellXfs>
  <cellStyles count="378">
    <cellStyle name="20% - Accent1" xfId="114" builtinId="30" customBuiltin="1"/>
    <cellStyle name="20% - Accent1 2" xfId="147" xr:uid="{94824244-2101-4E75-A751-7E1198CB157D}"/>
    <cellStyle name="20% - Accent1 2 2" xfId="175" xr:uid="{808E7508-1BBA-4B9C-A53F-432B8933B411}"/>
    <cellStyle name="20% - Accent1 2 2 2" xfId="322" xr:uid="{CBBD6C44-D91F-4F39-AF67-A26598412FDF}"/>
    <cellStyle name="20% - Accent1 2 3" xfId="243" xr:uid="{DFAACE0A-DDD2-4424-B740-BFF9BF44F6DE}"/>
    <cellStyle name="20% - Accent1 2 3 2" xfId="356" xr:uid="{89AF0E59-C980-4D73-AD5F-E64685BF5A39}"/>
    <cellStyle name="20% - Accent1 2 4" xfId="311" xr:uid="{83F36799-25DE-43C1-8B40-C38E43B06862}"/>
    <cellStyle name="20% - Accent1 3" xfId="176" xr:uid="{32B0355E-6EDE-4BFF-8288-D97DAF58BA3D}"/>
    <cellStyle name="20% - Accent1 3 2" xfId="323" xr:uid="{8B8A3324-DDA2-4DDC-A40B-277C58DF2E59}"/>
    <cellStyle name="20% - Accent1 4" xfId="252" xr:uid="{7CEC33F6-0A54-4986-816D-B5CD86F3443E}"/>
    <cellStyle name="20% - Accent1 5" xfId="298" xr:uid="{81C6ED3D-ADA8-4DD1-AB90-65CBC92DDD4E}"/>
    <cellStyle name="20% - Accent2" xfId="118" builtinId="34" customBuiltin="1"/>
    <cellStyle name="20% - Accent2 2" xfId="149" xr:uid="{3A6892BC-603E-44F6-A4CD-BDB954335613}"/>
    <cellStyle name="20% - Accent2 2 2" xfId="177" xr:uid="{A4E0B261-34A6-43CE-86A6-B3FE20F6C2EE}"/>
    <cellStyle name="20% - Accent2 2 2 2" xfId="324" xr:uid="{F6DF797F-3B58-4E26-A117-90F2DC8C6BE8}"/>
    <cellStyle name="20% - Accent2 2 3" xfId="244" xr:uid="{50C5342E-7F4E-4DA0-8BB2-B9DC64C75676}"/>
    <cellStyle name="20% - Accent2 2 3 2" xfId="357" xr:uid="{A9E457CE-E606-46C1-BAD6-9F04036F9737}"/>
    <cellStyle name="20% - Accent2 2 4" xfId="312" xr:uid="{A2CC103D-9803-49B7-AFE1-C11F6B1DCEA6}"/>
    <cellStyle name="20% - Accent2 3" xfId="178" xr:uid="{6C171EA5-10E1-4380-B85D-BD9AB947C93B}"/>
    <cellStyle name="20% - Accent2 3 2" xfId="325" xr:uid="{8D668A50-5F39-4645-A90D-54BF2D4958AE}"/>
    <cellStyle name="20% - Accent2 4" xfId="253" xr:uid="{237A4AE0-05DB-4BBC-9FC6-21F8CB9985F9}"/>
    <cellStyle name="20% - Accent2 5" xfId="300" xr:uid="{C5ABCD5F-0592-416F-9073-4C31AB0B7D76}"/>
    <cellStyle name="20% - Accent3" xfId="122" builtinId="38" customBuiltin="1"/>
    <cellStyle name="20% - Accent3 2" xfId="148" xr:uid="{26D9BC36-F860-4DB0-92BA-5CCE7700904E}"/>
    <cellStyle name="20% - Accent3 2 2" xfId="179" xr:uid="{C6940E12-74F9-4A68-A3FA-9C0A9AF8C855}"/>
    <cellStyle name="20% - Accent3 2 2 2" xfId="326" xr:uid="{00219586-1666-4D5E-9C8F-7927F6CFFF8D}"/>
    <cellStyle name="20% - Accent3 2 3" xfId="245" xr:uid="{2125FD0B-95F0-4249-A4C0-85785EC5E189}"/>
    <cellStyle name="20% - Accent3 2 3 2" xfId="358" xr:uid="{A7994EDF-6D4F-4DD2-AA80-E7ECD9EC5D2A}"/>
    <cellStyle name="20% - Accent3 2 4" xfId="313" xr:uid="{A392E008-3993-4913-9A74-2289F3F558F7}"/>
    <cellStyle name="20% - Accent3 3" xfId="180" xr:uid="{AE82C847-78D6-4B97-8441-AA51646614B2}"/>
    <cellStyle name="20% - Accent3 3 2" xfId="327" xr:uid="{E4842C73-CF9A-46A7-A8D4-C720BAFECC2A}"/>
    <cellStyle name="20% - Accent3 4" xfId="254" xr:uid="{40569062-D533-4274-94AE-C7B495BBBAF4}"/>
    <cellStyle name="20% - Accent3 5" xfId="302" xr:uid="{75FC9417-6D6F-4BEC-BBB5-1652C952A4F2}"/>
    <cellStyle name="20% - Accent4" xfId="126" builtinId="42" customBuiltin="1"/>
    <cellStyle name="20% - Accent4 2" xfId="146" xr:uid="{EFF20614-19C6-4818-8163-E651A637CA6E}"/>
    <cellStyle name="20% - Accent4 2 2" xfId="181" xr:uid="{C477F807-EE2A-4236-A0C5-E1401A15E84A}"/>
    <cellStyle name="20% - Accent4 2 2 2" xfId="328" xr:uid="{1D429CA1-7B52-4EEB-B7A7-4DE1398B029E}"/>
    <cellStyle name="20% - Accent4 2 3" xfId="246" xr:uid="{838D636A-4D49-422F-90B8-C14A3182ECA3}"/>
    <cellStyle name="20% - Accent4 2 3 2" xfId="359" xr:uid="{2D26635D-7002-48A3-80B5-01782ECEA560}"/>
    <cellStyle name="20% - Accent4 2 4" xfId="314" xr:uid="{413645D3-3617-43F7-8ECE-552A73C745C5}"/>
    <cellStyle name="20% - Accent4 3" xfId="182" xr:uid="{77FDE77B-07DD-4466-9C33-45F5E347F898}"/>
    <cellStyle name="20% - Accent4 3 2" xfId="329" xr:uid="{930BA819-24FD-4A10-BCCB-54EEAB1CF8E2}"/>
    <cellStyle name="20% - Accent4 4" xfId="255" xr:uid="{334DB917-1D99-4C5B-BA46-F86B4E671325}"/>
    <cellStyle name="20% - Accent4 5" xfId="304" xr:uid="{2A33F46A-D1F4-4B8C-A158-560DBF1B8215}"/>
    <cellStyle name="20% - Accent5" xfId="130" builtinId="46" customBuiltin="1"/>
    <cellStyle name="20% - Accent5 2" xfId="183" xr:uid="{657F8E32-39A3-4638-8EC1-DDD924C4D6B4}"/>
    <cellStyle name="20% - Accent5 2 2" xfId="330" xr:uid="{3FA1D9DA-02FB-410D-8295-71E299A736BC}"/>
    <cellStyle name="20% - Accent5 3" xfId="236" xr:uid="{40BC7363-BC63-477D-A10D-0F2E3F55AA99}"/>
    <cellStyle name="20% - Accent5 3 2" xfId="350" xr:uid="{8732B83C-2480-4354-8CF6-248EE2B9ADCC}"/>
    <cellStyle name="20% - Accent5 4" xfId="256" xr:uid="{51945EF0-DD1C-4DB0-B69C-82333019E54F}"/>
    <cellStyle name="20% - Accent5 5" xfId="306" xr:uid="{546C1E55-CAAA-4E78-BCC7-72F62F6CC03E}"/>
    <cellStyle name="20% - Accent6" xfId="134" builtinId="50" customBuiltin="1"/>
    <cellStyle name="20% - Accent6 2" xfId="184" xr:uid="{278BDC6A-6C88-4EB1-B39B-C6F05663AE81}"/>
    <cellStyle name="20% - Accent6 2 2" xfId="331" xr:uid="{A9B5AC6F-DB0E-48AF-9F7B-76BCEE23EE81}"/>
    <cellStyle name="20% - Accent6 3" xfId="238" xr:uid="{7DBFE8B8-91F0-4793-ABE2-D608172D3176}"/>
    <cellStyle name="20% - Accent6 3 2" xfId="352" xr:uid="{A0B804D4-E275-4465-9F36-8E5FDA8D4B68}"/>
    <cellStyle name="20% - Accent6 4" xfId="257" xr:uid="{B7EE85F8-3FF2-474C-BBAE-44ACD6D57C35}"/>
    <cellStyle name="20% - Accent6 5" xfId="308" xr:uid="{68BBBA63-83F4-44A7-B274-B556A530E939}"/>
    <cellStyle name="40% - Accent1" xfId="115" builtinId="31" customBuiltin="1"/>
    <cellStyle name="40% - Accent1 2" xfId="185" xr:uid="{D0E7E168-7A74-4F97-8D96-02A961818767}"/>
    <cellStyle name="40% - Accent1 2 2" xfId="332" xr:uid="{71A8CAB3-FD14-404B-89D2-ECAE436DDA9C}"/>
    <cellStyle name="40% - Accent1 3" xfId="233" xr:uid="{8C33CEFE-CC5C-41A1-839B-2AAF91F0C1D8}"/>
    <cellStyle name="40% - Accent1 3 2" xfId="347" xr:uid="{5ED618F1-0BEC-46B3-A47C-4FA55A325B90}"/>
    <cellStyle name="40% - Accent1 4" xfId="258" xr:uid="{8B777513-D1B3-4C8B-8CE8-8107E98F2BC1}"/>
    <cellStyle name="40% - Accent1 5" xfId="299" xr:uid="{7827FBB3-A345-4F9A-88F9-27F0AB5A21E0}"/>
    <cellStyle name="40% - Accent2" xfId="119" builtinId="35" customBuiltin="1"/>
    <cellStyle name="40% - Accent2 2" xfId="186" xr:uid="{754258B4-C612-4CDF-96F2-58818E8F97EA}"/>
    <cellStyle name="40% - Accent2 2 2" xfId="333" xr:uid="{05C021A2-4D31-4E37-BD99-BF629CFF9D43}"/>
    <cellStyle name="40% - Accent2 3" xfId="234" xr:uid="{B4CFA444-0118-42F0-9897-949B6223DBF9}"/>
    <cellStyle name="40% - Accent2 3 2" xfId="348" xr:uid="{F3A1CBFD-6F73-46AD-AB1A-D32E4FD21EA8}"/>
    <cellStyle name="40% - Accent2 4" xfId="259" xr:uid="{549F399D-1062-428D-9AC8-FBC8557D9F48}"/>
    <cellStyle name="40% - Accent2 5" xfId="301" xr:uid="{67B23B7D-1D29-42DA-970E-0A43CCBCC567}"/>
    <cellStyle name="40% - Accent3" xfId="123" builtinId="39" customBuiltin="1"/>
    <cellStyle name="40% - Accent3 2" xfId="150" xr:uid="{32E3F91A-ABD0-4825-9502-F257791BA671}"/>
    <cellStyle name="40% - Accent3 2 2" xfId="187" xr:uid="{23F5E177-8A1C-45E2-8843-FEBAA6B62089}"/>
    <cellStyle name="40% - Accent3 2 2 2" xfId="334" xr:uid="{DA7CAD89-95C6-412E-8603-43185A20AD10}"/>
    <cellStyle name="40% - Accent3 2 3" xfId="247" xr:uid="{A2DEB99B-97E6-4EF4-9FD3-29FEFC420526}"/>
    <cellStyle name="40% - Accent3 2 3 2" xfId="360" xr:uid="{02EDD4DA-104B-4770-ABD1-B23BB75CFE57}"/>
    <cellStyle name="40% - Accent3 2 4" xfId="315" xr:uid="{50109117-B1D7-416F-85D2-1905AC7D5D35}"/>
    <cellStyle name="40% - Accent3 3" xfId="188" xr:uid="{9C3CF690-7980-4ECA-8F06-921AB199361D}"/>
    <cellStyle name="40% - Accent3 3 2" xfId="335" xr:uid="{CEBB930C-DF9D-4C47-895D-3C9ED9C9EAA8}"/>
    <cellStyle name="40% - Accent3 4" xfId="260" xr:uid="{80304610-2D8E-4B30-B34D-D8A71CE05920}"/>
    <cellStyle name="40% - Accent3 5" xfId="303" xr:uid="{199ED734-CD86-4C36-AE44-313B54D2560E}"/>
    <cellStyle name="40% - Accent4" xfId="127" builtinId="43" customBuiltin="1"/>
    <cellStyle name="40% - Accent4 2" xfId="189" xr:uid="{2FDE2BFA-4A19-49AA-B1A0-E907432AB3E7}"/>
    <cellStyle name="40% - Accent4 2 2" xfId="336" xr:uid="{5D7CBC29-F770-4205-B1E3-CF1690CEA8CD}"/>
    <cellStyle name="40% - Accent4 3" xfId="235" xr:uid="{22417DB5-E2A1-4D00-B201-B53B427D4D20}"/>
    <cellStyle name="40% - Accent4 3 2" xfId="349" xr:uid="{9A1C5949-45A2-4555-9F6D-FB14F3F248CA}"/>
    <cellStyle name="40% - Accent4 4" xfId="261" xr:uid="{4C8A0805-8AA3-4DB1-98CB-F31F9359EDB0}"/>
    <cellStyle name="40% - Accent4 5" xfId="305" xr:uid="{4B251191-154A-40E7-A5B0-F5FE257BE24F}"/>
    <cellStyle name="40% - Accent5" xfId="131" builtinId="47" customBuiltin="1"/>
    <cellStyle name="40% - Accent5 2" xfId="190" xr:uid="{A1650198-03FA-42BF-9E33-D1C11CEA9719}"/>
    <cellStyle name="40% - Accent5 2 2" xfId="337" xr:uid="{83A0FD24-38C0-4A5B-B7FF-ADCE2F91F758}"/>
    <cellStyle name="40% - Accent5 3" xfId="237" xr:uid="{F38E99A5-6F6D-4DC6-BAEE-A13B30749A74}"/>
    <cellStyle name="40% - Accent5 3 2" xfId="351" xr:uid="{48002B42-4D23-4F44-847A-76BC1AF48B43}"/>
    <cellStyle name="40% - Accent5 4" xfId="262" xr:uid="{B47CD729-C3F7-4D30-A7E7-18FCFB9384B7}"/>
    <cellStyle name="40% - Accent5 5" xfId="307" xr:uid="{BF2053DF-5B31-4B9D-B385-CCAD6C7690C1}"/>
    <cellStyle name="40% - Accent6" xfId="135" builtinId="51" customBuiltin="1"/>
    <cellStyle name="40% - Accent6 2" xfId="191" xr:uid="{E77D6085-764B-4A64-B2FF-0B45BA676D4B}"/>
    <cellStyle name="40% - Accent6 2 2" xfId="338" xr:uid="{BF7F5C97-70A1-4164-9199-815C6A6A59DD}"/>
    <cellStyle name="40% - Accent6 3" xfId="239" xr:uid="{88061550-1FA6-4BD2-B11A-00A693901AF5}"/>
    <cellStyle name="40% - Accent6 3 2" xfId="353" xr:uid="{152B9510-68A0-49D7-8915-5D25E0B9BF37}"/>
    <cellStyle name="40% - Accent6 4" xfId="263" xr:uid="{10120615-3E3F-4139-B9C5-3692E7333EF1}"/>
    <cellStyle name="40% - Accent6 5" xfId="309" xr:uid="{85E09836-C196-48D4-9646-6C568398DFDF}"/>
    <cellStyle name="60% - Accent1" xfId="116" builtinId="32" customBuiltin="1"/>
    <cellStyle name="60% - Accent1 2" xfId="264" xr:uid="{0FBAEF88-07D5-49D6-AD98-021F041A54DD}"/>
    <cellStyle name="60% - Accent1 3" xfId="162" xr:uid="{AAB8EBDA-4861-4239-B111-9C59BD42E424}"/>
    <cellStyle name="60% - Accent2" xfId="120" builtinId="36" customBuiltin="1"/>
    <cellStyle name="60% - Accent2 2" xfId="265" xr:uid="{9E279784-8AA5-413C-98C7-366CEC6DFB32}"/>
    <cellStyle name="60% - Accent2 3" xfId="160" xr:uid="{608067CD-6D8A-4B2C-9F57-BBAF571DB4D4}"/>
    <cellStyle name="60% - Accent3" xfId="124" builtinId="40" customBuiltin="1"/>
    <cellStyle name="60% - Accent3 2" xfId="158" xr:uid="{2020F3C2-610A-42C5-9FF2-702422E251EC}"/>
    <cellStyle name="60% - Accent3 3" xfId="192" xr:uid="{48B78CC3-22E1-491A-AAE0-8BF3E7F3096D}"/>
    <cellStyle name="60% - Accent3 4" xfId="266" xr:uid="{3E54F20D-BB02-485A-8F91-78116B90E5AA}"/>
    <cellStyle name="60% - Accent3 5" xfId="228" xr:uid="{82F0EBB5-36B6-4F66-8E60-14D052D74CD1}"/>
    <cellStyle name="60% - Accent4" xfId="128" builtinId="44" customBuiltin="1"/>
    <cellStyle name="60% - Accent4 2" xfId="155" xr:uid="{4A8164F4-AF29-41C6-8FFA-7C804D1ADC89}"/>
    <cellStyle name="60% - Accent4 3" xfId="193" xr:uid="{FD61FC60-A83C-49B7-9797-A0EE99A83A1F}"/>
    <cellStyle name="60% - Accent4 4" xfId="267" xr:uid="{5D21D77F-6032-461D-94C3-47E6E378BBB3}"/>
    <cellStyle name="60% - Accent4 5" xfId="229" xr:uid="{E3D23C08-4B3A-43DB-9650-87E04C33BFEF}"/>
    <cellStyle name="60% - Accent5" xfId="132" builtinId="48" customBuiltin="1"/>
    <cellStyle name="60% - Accent5 2" xfId="268" xr:uid="{D4FC1A86-B3B4-4426-8B92-F06ECEE35DD7}"/>
    <cellStyle name="60% - Accent5 3" xfId="153" xr:uid="{E92A1F54-DF19-4468-B032-DF406FD2D5A5}"/>
    <cellStyle name="60% - Accent6" xfId="136" builtinId="52" customBuiltin="1"/>
    <cellStyle name="60% - Accent6 2" xfId="151" xr:uid="{9979C036-67CA-4769-9ADD-690967D5B507}"/>
    <cellStyle name="60% - Accent6 3" xfId="194" xr:uid="{A67149EF-37F3-42BD-9B42-2159AA8F54C2}"/>
    <cellStyle name="60% - Accent6 4" xfId="269" xr:uid="{CB875658-47C9-4A7E-AD6A-8813FABE1CD8}"/>
    <cellStyle name="60% - Accent6 5" xfId="230" xr:uid="{75DE898F-B343-4F62-AD73-6DBE3370387A}"/>
    <cellStyle name="Accent1" xfId="113" builtinId="29" customBuiltin="1"/>
    <cellStyle name="Accent1 2" xfId="270" xr:uid="{2F9EBDF8-EFCF-4670-9E73-CF15AA2C8513}"/>
    <cellStyle name="Accent2" xfId="117" builtinId="33" customBuiltin="1"/>
    <cellStyle name="Accent2 2" xfId="271" xr:uid="{4C591FB8-29AF-4AB5-97E2-BC80FDD56DC6}"/>
    <cellStyle name="Accent3" xfId="121" builtinId="37" customBuiltin="1"/>
    <cellStyle name="Accent3 2" xfId="272" xr:uid="{E913A6DA-DC1D-4392-A239-E1BAB359A021}"/>
    <cellStyle name="Accent4" xfId="125" builtinId="41" customBuiltin="1"/>
    <cellStyle name="Accent4 2" xfId="273" xr:uid="{84A5B390-28F3-4436-AD91-01055C82EFB2}"/>
    <cellStyle name="Accent5" xfId="129" builtinId="45" customBuiltin="1"/>
    <cellStyle name="Accent5 2" xfId="274" xr:uid="{C403E7C9-D686-4D0B-A326-885D438A21EA}"/>
    <cellStyle name="Accent6" xfId="133" builtinId="49" customBuiltin="1"/>
    <cellStyle name="Accent6 2" xfId="275" xr:uid="{17A3CF96-693C-4B39-A40E-E7BDAC964E89}"/>
    <cellStyle name="Bad" xfId="103" builtinId="27" customBuiltin="1"/>
    <cellStyle name="Bad 2" xfId="276" xr:uid="{CBADEF3F-2912-4147-A7DD-049F69ECDED7}"/>
    <cellStyle name="Body: normal cell" xfId="84" xr:uid="{AAABD088-1304-47CF-869E-54AFE6064964}"/>
    <cellStyle name="Calculation" xfId="107" builtinId="22" customBuiltin="1"/>
    <cellStyle name="Calculation 2" xfId="277" xr:uid="{BB04E3CF-4234-4B8C-AAB4-125B294BE0F7}"/>
    <cellStyle name="Calculation 2 2" xfId="144" xr:uid="{7B7706B3-9832-4411-865C-5FE3B67A3E7F}"/>
    <cellStyle name="Calculation 2 3" xfId="371" xr:uid="{D22B68E1-6862-4E14-981F-DE6FE40DFACA}"/>
    <cellStyle name="Calculation 2 4" xfId="142" xr:uid="{88FD6DA9-CF0D-401F-8AC0-34AC13E1AC70}"/>
    <cellStyle name="Check Cell" xfId="109" builtinId="23" customBuiltin="1"/>
    <cellStyle name="Check Cell 2" xfId="278" xr:uid="{360C5E20-32B8-430E-9B25-570B7B416A76}"/>
    <cellStyle name="Comma" xfId="1" builtinId="3"/>
    <cellStyle name="Comma 10" xfId="157" xr:uid="{974F5150-03CB-40DC-A5EB-C5EABAD19543}"/>
    <cellStyle name="Comma 11" xfId="196" xr:uid="{173CAE04-9699-45BD-9DFD-2F0B4490C258}"/>
    <cellStyle name="Comma 12" xfId="197" xr:uid="{07973501-D202-4AC4-A6D8-EA2177D037FA}"/>
    <cellStyle name="Comma 13" xfId="198" xr:uid="{A008CAFC-B508-4339-9785-5989C2DBAB39}"/>
    <cellStyle name="Comma 14" xfId="199" xr:uid="{9A4DBDFB-7ECD-48E3-86AC-642A7DB6A7FB}"/>
    <cellStyle name="Comma 15" xfId="200" xr:uid="{346B7324-9C26-4ADD-915E-E702361B1B96}"/>
    <cellStyle name="Comma 16" xfId="201" xr:uid="{8771733F-12D3-4155-B98D-EB9165D7524A}"/>
    <cellStyle name="Comma 17" xfId="202" xr:uid="{D2E828E0-02FA-4337-A075-CA80ADB00C44}"/>
    <cellStyle name="Comma 18" xfId="195" xr:uid="{7F531399-A568-451C-98EA-DFCBE4BF4564}"/>
    <cellStyle name="Comma 19" xfId="38" xr:uid="{DDCE393F-1348-4189-A747-6A37252868C8}"/>
    <cellStyle name="Comma 19 2" xfId="355" xr:uid="{11616344-594E-43BD-B3D3-2A8BBDD24E9E}"/>
    <cellStyle name="Comma 19 3" xfId="241" xr:uid="{09364125-AA71-40DB-B3C6-6BFD41F7464D}"/>
    <cellStyle name="Comma 2" xfId="2" xr:uid="{00000000-0005-0000-0000-000001000000}"/>
    <cellStyle name="Comma 2 2" xfId="14" xr:uid="{1C9077E0-5527-45A6-8EEF-D5F248207782}"/>
    <cellStyle name="Comma 2 2 2" xfId="339" xr:uid="{87C85B73-FB98-445F-B246-EBC9A17A70EC}"/>
    <cellStyle name="Comma 2 2 3" xfId="203" xr:uid="{89AB8884-F733-449C-AE7A-12097AC2A627}"/>
    <cellStyle name="Comma 2 3" xfId="248" xr:uid="{BA8E939A-B93A-4154-91FB-F6AF914A8C02}"/>
    <cellStyle name="Comma 2 3 2" xfId="361" xr:uid="{F1ED8589-0281-46E3-B46B-177F35A05B8D}"/>
    <cellStyle name="Comma 2 4" xfId="279" xr:uid="{3681BAD9-AD19-4234-B953-6B890ACD5432}"/>
    <cellStyle name="Comma 2 5" xfId="316" xr:uid="{0C178AA8-28C5-4254-B134-FAA54793A4FC}"/>
    <cellStyle name="Comma 2 6" xfId="154" xr:uid="{F70197A6-DA58-43B6-943A-AD1DCB6219F8}"/>
    <cellStyle name="Comma 20" xfId="321" xr:uid="{66FB9168-665A-4C7D-B9AF-CB5BAA389156}"/>
    <cellStyle name="Comma 21" xfId="173" xr:uid="{47A8C6B7-D99C-4630-BD41-EF9115ACF656}"/>
    <cellStyle name="Comma 22" xfId="139" xr:uid="{EDF07AD8-07D5-4FBC-B7E6-4AC4E228E6E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4 2 2" xfId="340" xr:uid="{7BF1C912-7D37-46C0-9ECA-902C2637F2EA}"/>
    <cellStyle name="Comma 4 3" xfId="204" xr:uid="{64B597EF-614B-48C9-9308-DFFB65FAF00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5 4" xfId="152" xr:uid="{5DE1518C-9089-4D79-B9B5-C5286E6C9486}"/>
    <cellStyle name="Comma 6" xfId="74" xr:uid="{5AE75EFE-983D-4415-ABF1-C4602BF3FD8A}"/>
    <cellStyle name="Comma 6 2" xfId="163" xr:uid="{B4B23E05-5195-41A3-90BF-42849054B808}"/>
    <cellStyle name="Comma 7" xfId="85" xr:uid="{89556A3A-0567-43CE-A6FB-D4B1BAA3DD4E}"/>
    <cellStyle name="Comma 7 2" xfId="161" xr:uid="{02598CF4-B928-4226-945D-64F9B7ACCE5A}"/>
    <cellStyle name="Comma 8" xfId="159" xr:uid="{B00CD39B-8D0A-45F0-83E5-E0B0D26C09C8}"/>
    <cellStyle name="Comma 9" xfId="156" xr:uid="{E6D79CAB-76B5-43F7-8F35-C72F70247B21}"/>
    <cellStyle name="Currency 2" xfId="33" xr:uid="{8219487F-D241-4C0D-8320-8F18D40FD705}"/>
    <cellStyle name="Explanatory Text" xfId="111" builtinId="53" customBuiltin="1"/>
    <cellStyle name="Explanatory Text 2" xfId="280" xr:uid="{C94C4120-995B-42E5-AA29-196F3D294F3F}"/>
    <cellStyle name="Followed Hyperlink 2" xfId="86" xr:uid="{2AABDBBF-5861-44C2-B8CD-B4B39E048C61}"/>
    <cellStyle name="Font: Calibri, 9pt regular" xfId="87" xr:uid="{93F2A3A3-0F15-45D7-8E50-6DD1381DFC7F}"/>
    <cellStyle name="Footnotes: all except top row" xfId="88" xr:uid="{EE6C687A-2487-4788-A031-C0108D2935BA}"/>
    <cellStyle name="Footnotes: top row" xfId="89" xr:uid="{4F149294-B9D2-4009-9057-CD6A7F7B001A}"/>
    <cellStyle name="Good" xfId="102" builtinId="26" customBuiltin="1"/>
    <cellStyle name="Good 2" xfId="281" xr:uid="{1E99981B-F077-4E18-81A8-D74F5B17D5A1}"/>
    <cellStyle name="Header: bottom row" xfId="90" xr:uid="{D4B17AAD-4BD3-4462-AC0F-7F8590C3748C}"/>
    <cellStyle name="Header: top rows" xfId="91" xr:uid="{005404BA-63BC-4393-AABC-6C19CD87D840}"/>
    <cellStyle name="Heading 1" xfId="98" builtinId="16" customBuiltin="1"/>
    <cellStyle name="Heading 1 2" xfId="282" xr:uid="{7AEE7AEE-9447-408E-8437-9315EAE63F61}"/>
    <cellStyle name="Heading 2" xfId="99" builtinId="17" customBuiltin="1"/>
    <cellStyle name="Heading 2 2" xfId="283" xr:uid="{C92A699F-D084-464D-B420-ABE0BE484C8C}"/>
    <cellStyle name="Heading 3" xfId="100" builtinId="18" customBuiltin="1"/>
    <cellStyle name="Heading 3 2" xfId="284" xr:uid="{518823A6-45BC-47F1-B155-738DE517DFE9}"/>
    <cellStyle name="Heading 4" xfId="101" builtinId="19" customBuiltin="1"/>
    <cellStyle name="Heading 4 2" xfId="285" xr:uid="{B7D84DC7-608E-4152-974D-29C0719719BB}"/>
    <cellStyle name="Hyperlink" xfId="4" builtinId="8"/>
    <cellStyle name="Hyperlink 2" xfId="5" xr:uid="{00000000-0005-0000-0000-000004000000}"/>
    <cellStyle name="Hyperlink 2 2" xfId="249" xr:uid="{7FAD3A58-790F-4ED0-8D4A-AB7B6D7E6BD7}"/>
    <cellStyle name="Hyperlink 3" xfId="6" xr:uid="{00000000-0005-0000-0000-000005000000}"/>
    <cellStyle name="Hyperlink 3 2" xfId="242" xr:uid="{E8BFBA16-071E-4BDC-AF6C-C92DAA0BB06A}"/>
    <cellStyle name="Hyperlink 4" xfId="92" xr:uid="{3670B919-B3BB-4E75-9930-7D6F569E3C0E}"/>
    <cellStyle name="Hyperlink 4 2" xfId="164" xr:uid="{EC59D5CE-C330-4E4D-849B-4EECA6AA0335}"/>
    <cellStyle name="Input" xfId="105" builtinId="20" customBuiltin="1"/>
    <cellStyle name="Input 2" xfId="286" xr:uid="{7B58C08A-19AD-4A8C-8221-CED672E83884}"/>
    <cellStyle name="Input 2 2" xfId="374" xr:uid="{524081B4-428E-4FAD-BAED-75EDEB7C75CB}"/>
    <cellStyle name="Input 2 3" xfId="377" xr:uid="{710D73DB-794E-47B8-B9FF-E2E3E61B92CB}"/>
    <cellStyle name="Input 2 4" xfId="364" xr:uid="{5173D68A-B994-45B6-A40F-C4B6DCE1236A}"/>
    <cellStyle name="Linked Cell" xfId="108" builtinId="24" customBuiltin="1"/>
    <cellStyle name="Linked Cell 2" xfId="287" xr:uid="{0A4AFD6D-084D-4E85-8F45-FE4F57D325B9}"/>
    <cellStyle name="Neutral" xfId="104" builtinId="28" customBuiltin="1"/>
    <cellStyle name="Neutral 2" xfId="288" xr:uid="{7D349BF1-96FC-4376-98F3-D0609127254C}"/>
    <cellStyle name="Neutral 3" xfId="165" xr:uid="{2E34183E-493C-4078-91F7-C3680CD19886}"/>
    <cellStyle name="Normal" xfId="0" builtinId="0"/>
    <cellStyle name="Normal 10" xfId="27" xr:uid="{89A3A5E2-F786-4249-BED3-9C369DE53169}"/>
    <cellStyle name="Normal 10 2" xfId="60" xr:uid="{E126FF74-8F35-46C0-B499-BB9FB7C0492D}"/>
    <cellStyle name="Normal 10 3" xfId="205" xr:uid="{2C4D7787-381F-41EE-BCB9-07068866B7E2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16" xfId="80" xr:uid="{20AE4923-93D2-4A0A-A99C-F322F52DB714}"/>
    <cellStyle name="Normal 11 17" xfId="81" xr:uid="{5DA86BD8-8610-4DFE-8E4B-9978D765DE5A}"/>
    <cellStyle name="Normal 11 18" xfId="82" xr:uid="{F12195B6-594D-47B4-9073-432DB3C44860}"/>
    <cellStyle name="Normal 11 19" xfId="206" xr:uid="{85C4D507-476D-43A0-82DF-71DDD8B7D3C5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2 2" xfId="207" xr:uid="{3E1767D0-6B40-4A5B-8FAB-6DEF2ECBFBE5}"/>
    <cellStyle name="Normal 13" xfId="79" xr:uid="{9E2AFF03-0374-4DAB-9B4E-F3E30AAD9A78}"/>
    <cellStyle name="Normal 13 2" xfId="208" xr:uid="{5A4175F5-C1BB-41BA-9779-D3876062B4C9}"/>
    <cellStyle name="Normal 14" xfId="83" xr:uid="{BAB90E85-6B6D-45C8-8BC4-D96E3F711A33}"/>
    <cellStyle name="Normal 14 2" xfId="209" xr:uid="{90BF5225-74E6-4131-BFF1-818FEA15BE96}"/>
    <cellStyle name="Normal 15" xfId="210" xr:uid="{2611E386-557A-45FD-A072-E557E32BD723}"/>
    <cellStyle name="Normal 16" xfId="211" xr:uid="{E584E80A-0AC0-4BA4-972E-F77FC3AC618B}"/>
    <cellStyle name="Normal 17" xfId="174" xr:uid="{82B278D5-1A1A-4E42-AEBD-22B80ED8F858}"/>
    <cellStyle name="Normal 18" xfId="231" xr:uid="{01500EEB-E236-40E6-B24D-636C7D545421}"/>
    <cellStyle name="Normal 18 2" xfId="345" xr:uid="{6D9B38BC-E55C-47F7-92C2-7A55AA88F965}"/>
    <cellStyle name="Normal 19" xfId="310" xr:uid="{85F2347C-2F58-47B0-AAF4-DA11F271F632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20" xfId="297" xr:uid="{5675D048-D926-4D76-A9C5-0E9E74212AD8}"/>
    <cellStyle name="Normal 21" xfId="145" xr:uid="{57311FF5-2538-45E7-80A5-22F4407D22EE}"/>
    <cellStyle name="Normal 22" xfId="137" xr:uid="{34355714-1B6B-473D-B1EE-A7F5E53EA421}"/>
    <cellStyle name="Normal 3" xfId="9" xr:uid="{00000000-0005-0000-0000-000009000000}"/>
    <cellStyle name="Normal 3 2" xfId="21" xr:uid="{70607CDE-CC71-4B27-B690-3D2401DD0B38}"/>
    <cellStyle name="Normal 3 3" xfId="166" xr:uid="{24016708-ACDF-4123-AC81-090C466438EA}"/>
    <cellStyle name="Normal 4" xfId="10" xr:uid="{00000000-0005-0000-0000-00000A000000}"/>
    <cellStyle name="Normal 4 2" xfId="15" xr:uid="{4805FFD6-0377-46EF-881C-FDB9DF487011}"/>
    <cellStyle name="Normal 4 3" xfId="167" xr:uid="{32C3AD38-24EB-4CDC-B98B-A91F4D2A626A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5 4" xfId="168" xr:uid="{72593085-5AF4-4127-9467-36099588CA02}"/>
    <cellStyle name="Normal 6" xfId="13" xr:uid="{EBE75F6A-C88B-45B8-A8CA-B04BAAF6B28C}"/>
    <cellStyle name="Normal 6 2" xfId="212" xr:uid="{1A367DA1-9CC0-42DA-9119-E74336950E8C}"/>
    <cellStyle name="Normal 6 2 2" xfId="341" xr:uid="{E20501AB-0A1D-45EC-8D74-124F36BB4B07}"/>
    <cellStyle name="Normal 6 3" xfId="250" xr:uid="{946EAB2F-3003-438D-AECA-E36A970A2718}"/>
    <cellStyle name="Normal 6 3 2" xfId="362" xr:uid="{12BACF06-EA48-4382-91FB-563037CC3A6F}"/>
    <cellStyle name="Normal 6 4" xfId="289" xr:uid="{0EC8BBF7-2579-442B-B652-39916CBF4B7C}"/>
    <cellStyle name="Normal 6 5" xfId="317" xr:uid="{2E522AAE-3A43-4D85-9BC9-D75DF67CA993}"/>
    <cellStyle name="Normal 6 6" xfId="169" xr:uid="{808CEDD4-B41F-4D2C-982F-C9996D1BAA59}"/>
    <cellStyle name="Normal 7" xfId="16" xr:uid="{3D34A042-2E55-4E8C-B59D-A542FFF81875}"/>
    <cellStyle name="Normal 7 2" xfId="213" xr:uid="{820CAB25-D625-44C5-95BC-3DAC14BF070F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8 5" xfId="214" xr:uid="{2576F2E6-EAB3-416F-A6AD-5298A27898D5}"/>
    <cellStyle name="Normal 9" xfId="25" xr:uid="{AF562AB2-2E7D-4C04-814F-6AC30A92CE3A}"/>
    <cellStyle name="Normal 9 2" xfId="58" xr:uid="{9E080DFC-9773-4552-A43C-01793D50B659}"/>
    <cellStyle name="Normal 9 2 2" xfId="342" xr:uid="{62794239-764B-447C-ABD6-07E51E756932}"/>
    <cellStyle name="Normal 9 3" xfId="215" xr:uid="{6F223409-C652-4E49-AD52-D3363DDC15E9}"/>
    <cellStyle name="Note 2" xfId="170" xr:uid="{C3F208D1-D7F4-4FA1-9DDC-24DCCAF00B13}"/>
    <cellStyle name="Note 2 2" xfId="216" xr:uid="{D1F5C7A0-2A37-4AEC-B6E7-1061E205B394}"/>
    <cellStyle name="Note 2 2 2" xfId="343" xr:uid="{BE6495D6-013F-4019-8749-17BC74715577}"/>
    <cellStyle name="Note 2 3" xfId="251" xr:uid="{FD29B074-0975-4C84-B020-F6AFF1851528}"/>
    <cellStyle name="Note 2 3 2" xfId="363" xr:uid="{50FF0CC4-B61A-4B7C-A7A5-65EFC15AC715}"/>
    <cellStyle name="Note 2 4" xfId="291" xr:uid="{B26BB074-7925-4B7D-8117-A3CAC5FCB62F}"/>
    <cellStyle name="Note 2 4 2" xfId="140" xr:uid="{CD338698-8C7F-41B4-BFCC-7A91B33CA405}"/>
    <cellStyle name="Note 2 4 3" xfId="365" xr:uid="{27FEE197-3F21-42C7-B439-6EEE26B30AE5}"/>
    <cellStyle name="Note 2 4 4" xfId="370" xr:uid="{E345255D-CBE2-4B3B-BDE4-FBDA6A4F6C58}"/>
    <cellStyle name="Note 2 5" xfId="318" xr:uid="{B3F27023-4B65-487D-85FA-119154F7A601}"/>
    <cellStyle name="Note 3" xfId="217" xr:uid="{A7C0021F-FA46-4B96-89A8-7F34D94EC6D7}"/>
    <cellStyle name="Note 3 2" xfId="344" xr:uid="{C8A3A4EC-5754-4556-B45B-E9F0EB3392A3}"/>
    <cellStyle name="Note 4" xfId="232" xr:uid="{674244FC-6EC5-411F-89FA-4B0E9038DE2A}"/>
    <cellStyle name="Note 4 2" xfId="346" xr:uid="{476131BE-25DB-416D-A65E-21EF7F48DC69}"/>
    <cellStyle name="Note 5" xfId="290" xr:uid="{49675C76-00C1-4D5F-A92B-FB5C643FAD50}"/>
    <cellStyle name="Note 5 2" xfId="372" xr:uid="{1D4303E1-BA87-49AF-BEBD-66461DE983B6}"/>
    <cellStyle name="Note 5 3" xfId="375" xr:uid="{18B60FC2-E969-4468-8CAB-3005B7F7D8F5}"/>
    <cellStyle name="Note 5 4" xfId="141" xr:uid="{96A6F1D8-69F2-4049-89FA-0FCDB1B3A5B9}"/>
    <cellStyle name="Note 6" xfId="143" xr:uid="{76A629B7-C611-430C-B43D-08A666E8CF1D}"/>
    <cellStyle name="Output" xfId="106" builtinId="21" customBuiltin="1"/>
    <cellStyle name="Output 2" xfId="292" xr:uid="{F0F7321F-71EB-4A8C-8C89-2F60FECB46B8}"/>
    <cellStyle name="Output 2 2" xfId="376" xr:uid="{90A23603-FA65-4F0B-AAB1-E7BE1B0B7B4D}"/>
    <cellStyle name="Output 2 3" xfId="366" xr:uid="{D7F1167F-3E6F-43C6-84FD-662AF9CC9FFC}"/>
    <cellStyle name="Output 2 4" xfId="367" xr:uid="{0E6E46EF-85D7-42C9-9F6B-65DAE1A4A407}"/>
    <cellStyle name="Parent row" xfId="93" xr:uid="{1E35CEB2-0821-4BF1-BD95-43226D3AD920}"/>
    <cellStyle name="Percent" xfId="12" builtinId="5"/>
    <cellStyle name="Percent 10" xfId="219" xr:uid="{92F77126-7B32-4F8C-B344-7B37D151D0C7}"/>
    <cellStyle name="Percent 11" xfId="218" xr:uid="{F7D15F6F-81BB-4D3E-B697-27C670C1CDD2}"/>
    <cellStyle name="Percent 12" xfId="240" xr:uid="{741C9297-9E27-4399-A400-2F12719101AC}"/>
    <cellStyle name="Percent 12 2" xfId="354" xr:uid="{F0A842BE-F717-44AD-80B7-18EB878BCAC3}"/>
    <cellStyle name="Percent 13" xfId="320" xr:uid="{BEB9E956-C81D-440D-9C91-F27DC881370B}"/>
    <cellStyle name="Percent 14" xfId="172" xr:uid="{A6D3652B-46E0-4617-A624-3F55D9D45EF5}"/>
    <cellStyle name="Percent 15" xfId="138" xr:uid="{1EB19C15-2A09-4CDB-B7E1-F0F563AABEDB}"/>
    <cellStyle name="Percent 2" xfId="220" xr:uid="{4E8FF06F-C868-44AB-8B82-DE6FBA9CF0DD}"/>
    <cellStyle name="Percent 2 2" xfId="293" xr:uid="{117EB9A9-FAC7-4563-9DA1-0C6C8C6BE39A}"/>
    <cellStyle name="Percent 3" xfId="221" xr:uid="{9D943620-D73E-4A49-9FE6-D205063B48A5}"/>
    <cellStyle name="Percent 4" xfId="222" xr:uid="{8932F41B-FFB4-4B9C-BAD8-A0A307E40099}"/>
    <cellStyle name="Percent 5" xfId="223" xr:uid="{1B85EFDA-1988-40D7-A863-F101DBBB4422}"/>
    <cellStyle name="Percent 6" xfId="224" xr:uid="{3F95738A-1B06-45D0-81DA-5EE8D7595801}"/>
    <cellStyle name="Percent 7" xfId="225" xr:uid="{0102FDA9-6934-4662-BB9C-D0F83F816AF2}"/>
    <cellStyle name="Percent 8" xfId="226" xr:uid="{142055B5-847B-4C5A-949F-23C062343333}"/>
    <cellStyle name="Percent 9" xfId="227" xr:uid="{2422C149-2921-477B-8821-F9004EA738B7}"/>
    <cellStyle name="Section Break" xfId="94" xr:uid="{EB5B8B72-A3B2-4FD1-9FD6-1F1106690713}"/>
    <cellStyle name="Section Break: parent row" xfId="95" xr:uid="{7C00BD4B-F008-4F1E-A7B5-8C0CA452A3F5}"/>
    <cellStyle name="Table title" xfId="96" xr:uid="{70FFA00A-4881-4DB5-929F-7AB7942E011A}"/>
    <cellStyle name="Title" xfId="97" builtinId="15" customBuiltin="1"/>
    <cellStyle name="Title 2" xfId="294" xr:uid="{962FCC9F-DABB-4175-89CF-C551B91789D2}"/>
    <cellStyle name="Title 3" xfId="319" xr:uid="{B6E17F5F-CA7A-489E-B43B-605634F9C8CA}"/>
    <cellStyle name="Title 4" xfId="171" xr:uid="{500FA8BC-4D95-4D1F-8A33-171C7EC13FD0}"/>
    <cellStyle name="Total" xfId="112" builtinId="25" customBuiltin="1"/>
    <cellStyle name="Total 2" xfId="295" xr:uid="{095124E0-EB53-42E5-A9A7-2724DCDF312E}"/>
    <cellStyle name="Total 2 2" xfId="369" xr:uid="{5B16891E-784B-4B3F-AC81-573F5799E57B}"/>
    <cellStyle name="Total 2 3" xfId="373" xr:uid="{0B1DCB72-05CF-48C0-8681-CABC6DA84842}"/>
    <cellStyle name="Total 2 4" xfId="368" xr:uid="{B3DF6F0E-5675-4F4B-BE9B-E3AE5E425E74}"/>
    <cellStyle name="Warning Text" xfId="110" builtinId="11" customBuiltin="1"/>
    <cellStyle name="Warning Text 2" xfId="296" xr:uid="{EFA92663-19D7-471E-8855-E3A9F964DFF3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C4CA7E98-DF71-47D1-AD66-48E16269045A}">
      <tableStyleElement type="wholeTable" dxfId="1"/>
      <tableStyleElement type="headerRow" dxfId="0"/>
    </tableStyle>
  </tableStyles>
  <colors>
    <mruColors>
      <color rgb="FFFF9933"/>
      <color rgb="FFFFFF00"/>
      <color rgb="FFFFD966"/>
      <color rgb="FFFFCF01"/>
      <color rgb="FFFFFF99"/>
      <color rgb="FF0000FF"/>
      <color rgb="FFFFCC66"/>
      <color rgb="FFFA6400"/>
      <color rgb="FF00B050"/>
      <color rgb="FFC05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1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U.S. soybean meal exports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6755839620465857E-3"/>
          <c:y val="1.0932677423807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86917185945228E-2"/>
          <c:y val="0.26683469770794421"/>
          <c:w val="0.84874942625679428"/>
          <c:h val="0.458445471040778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1'!$B$2:$B$13</c:f>
              <c:numCache>
                <c:formatCode>#,##0</c:formatCode>
                <c:ptCount val="12"/>
                <c:pt idx="0">
                  <c:v>954.06554046994665</c:v>
                </c:pt>
                <c:pt idx="1">
                  <c:v>1190.1744501286107</c:v>
                </c:pt>
                <c:pt idx="2">
                  <c:v>1192.1802157882867</c:v>
                </c:pt>
                <c:pt idx="3">
                  <c:v>1548.3308271059509</c:v>
                </c:pt>
                <c:pt idx="4">
                  <c:v>1019.8292127622847</c:v>
                </c:pt>
                <c:pt idx="5">
                  <c:v>1472.8462020641157</c:v>
                </c:pt>
                <c:pt idx="6">
                  <c:v>1244.123880493762</c:v>
                </c:pt>
                <c:pt idx="7">
                  <c:v>1191.1126272845518</c:v>
                </c:pt>
                <c:pt idx="8">
                  <c:v>1388.8616545108707</c:v>
                </c:pt>
                <c:pt idx="9">
                  <c:v>1194.2130983061886</c:v>
                </c:pt>
                <c:pt idx="10">
                  <c:v>1177.8298862301829</c:v>
                </c:pt>
                <c:pt idx="11">
                  <c:v>1089.9406213235247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8-4DF7-9369-14FBCBB43A18}"/>
            </c:ext>
          </c:extLst>
        </c:ser>
        <c:ser>
          <c:idx val="3"/>
          <c:order val="1"/>
          <c:tx>
            <c:strRef>
              <c:f>'Figure 1'!$C$1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'Figure 1'!$C$2:$C$13</c:f>
              <c:numCache>
                <c:formatCode>#,##0</c:formatCode>
                <c:ptCount val="12"/>
                <c:pt idx="0">
                  <c:v>1314.2326435078578</c:v>
                </c:pt>
                <c:pt idx="1">
                  <c:v>1466.7397281001088</c:v>
                </c:pt>
                <c:pt idx="2">
                  <c:v>1596.7440091477577</c:v>
                </c:pt>
                <c:pt idx="3">
                  <c:v>1516.8416510688357</c:v>
                </c:pt>
                <c:pt idx="4">
                  <c:v>1505.2282502623307</c:v>
                </c:pt>
                <c:pt idx="5">
                  <c:v>1652.1387901025805</c:v>
                </c:pt>
                <c:pt idx="6">
                  <c:v>1385.8039531680615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8-4DF7-9369-14FBCBB4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7537393338385003"/>
              <c:y val="0.837223838525153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short tons</a:t>
                </a:r>
              </a:p>
            </c:rich>
          </c:tx>
          <c:layout>
            <c:manualLayout>
              <c:xMode val="edge"/>
              <c:yMode val="edge"/>
              <c:x val="0"/>
              <c:y val="0.11587160056977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430174180640457"/>
          <c:y val="0.18040870391432756"/>
          <c:w val="0.28638322904823149"/>
          <c:h val="7.9006963069054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Soybean oil exports and price</a:t>
            </a:r>
            <a:endParaRPr lang="en-US" sz="1050" b="1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556688716962282E-2"/>
          <c:y val="0.20657497211990136"/>
          <c:w val="0.84586446143178617"/>
          <c:h val="0.4928227265709433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'Figure 2'!$C$1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0BF7-4D60-8D2F-2CE9739E44AA}"/>
              </c:ext>
            </c:extLst>
          </c:dPt>
          <c:cat>
            <c:numRef>
              <c:f>'Figure 2'!$A$2:$A$21</c:f>
              <c:numCache>
                <c:formatCode>[$-409]mmm\-yy;@</c:formatCode>
                <c:ptCount val="20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  <c:pt idx="14">
                  <c:v>45261</c:v>
                </c:pt>
                <c:pt idx="15">
                  <c:v>45292</c:v>
                </c:pt>
                <c:pt idx="16">
                  <c:v>45323</c:v>
                </c:pt>
                <c:pt idx="17">
                  <c:v>45352</c:v>
                </c:pt>
                <c:pt idx="18">
                  <c:v>45383</c:v>
                </c:pt>
                <c:pt idx="19">
                  <c:v>45413</c:v>
                </c:pt>
              </c:numCache>
            </c:numRef>
          </c:cat>
          <c:val>
            <c:numRef>
              <c:f>'Figure 2'!$C$2:$C$21</c:f>
              <c:numCache>
                <c:formatCode>0</c:formatCode>
                <c:ptCount val="20"/>
                <c:pt idx="0">
                  <c:v>23.535669242071997</c:v>
                </c:pt>
                <c:pt idx="1">
                  <c:v>23.447043412747995</c:v>
                </c:pt>
                <c:pt idx="2">
                  <c:v>34.846485593981996</c:v>
                </c:pt>
                <c:pt idx="3">
                  <c:v>15.408327953441997</c:v>
                </c:pt>
                <c:pt idx="4">
                  <c:v>25.957888114665991</c:v>
                </c:pt>
                <c:pt idx="5">
                  <c:v>12.803125403387996</c:v>
                </c:pt>
                <c:pt idx="6">
                  <c:v>60.622933267021985</c:v>
                </c:pt>
                <c:pt idx="7">
                  <c:v>50.214468953477997</c:v>
                </c:pt>
                <c:pt idx="8">
                  <c:v>39.898378327711995</c:v>
                </c:pt>
                <c:pt idx="9">
                  <c:v>37.219320919887998</c:v>
                </c:pt>
                <c:pt idx="10">
                  <c:v>26.130069141287994</c:v>
                </c:pt>
                <c:pt idx="11">
                  <c:v>27.990109245781994</c:v>
                </c:pt>
                <c:pt idx="12">
                  <c:v>12.989195552515998</c:v>
                </c:pt>
                <c:pt idx="13">
                  <c:v>13.806669620011998</c:v>
                </c:pt>
                <c:pt idx="14">
                  <c:v>12.658281697253999</c:v>
                </c:pt>
                <c:pt idx="15">
                  <c:v>11.506366378303998</c:v>
                </c:pt>
                <c:pt idx="16">
                  <c:v>14.220477285785996</c:v>
                </c:pt>
                <c:pt idx="17">
                  <c:v>98.746369923371986</c:v>
                </c:pt>
                <c:pt idx="18">
                  <c:v>22.345834414057997</c:v>
                </c:pt>
                <c:pt idx="19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D60-8D2F-2CE9739E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  <c:extLst/>
      </c:barChart>
      <c:lineChart>
        <c:grouping val="standard"/>
        <c:varyColors val="0"/>
        <c:ser>
          <c:idx val="4"/>
          <c:order val="0"/>
          <c:tx>
            <c:strRef>
              <c:f>'Figure 2'!$B$1</c:f>
              <c:strCache>
                <c:ptCount val="1"/>
                <c:pt idx="0">
                  <c:v>Price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/>
          </c:spPr>
          <c:marker>
            <c:symbol val="none"/>
          </c:marker>
          <c:cat>
            <c:numRef>
              <c:f>'Figure 2'!$A$2:$A$21</c:f>
              <c:numCache>
                <c:formatCode>[$-409]mmm\-yy;@</c:formatCode>
                <c:ptCount val="20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  <c:pt idx="13">
                  <c:v>45231</c:v>
                </c:pt>
                <c:pt idx="14">
                  <c:v>45261</c:v>
                </c:pt>
                <c:pt idx="15">
                  <c:v>45292</c:v>
                </c:pt>
                <c:pt idx="16">
                  <c:v>45323</c:v>
                </c:pt>
                <c:pt idx="17">
                  <c:v>45352</c:v>
                </c:pt>
                <c:pt idx="18">
                  <c:v>45383</c:v>
                </c:pt>
                <c:pt idx="19">
                  <c:v>45413</c:v>
                </c:pt>
              </c:numCache>
            </c:numRef>
          </c:cat>
          <c:val>
            <c:numRef>
              <c:f>'Figure 2'!$B$2:$B$21</c:f>
              <c:numCache>
                <c:formatCode>_(* #,##0_);_(* \(#,##0\);_(* "-"??_);_(@_)</c:formatCode>
                <c:ptCount val="20"/>
                <c:pt idx="0">
                  <c:v>72.67</c:v>
                </c:pt>
                <c:pt idx="1">
                  <c:v>79.180000000000007</c:v>
                </c:pt>
                <c:pt idx="2">
                  <c:v>68.14</c:v>
                </c:pt>
                <c:pt idx="3">
                  <c:v>66</c:v>
                </c:pt>
                <c:pt idx="4">
                  <c:v>63.242500000000007</c:v>
                </c:pt>
                <c:pt idx="5">
                  <c:v>58.83</c:v>
                </c:pt>
                <c:pt idx="6">
                  <c:v>55.474999999999994</c:v>
                </c:pt>
                <c:pt idx="7">
                  <c:v>52.484999999999999</c:v>
                </c:pt>
                <c:pt idx="8">
                  <c:v>60.007999999999996</c:v>
                </c:pt>
                <c:pt idx="9">
                  <c:v>70.887499999999989</c:v>
                </c:pt>
                <c:pt idx="10">
                  <c:v>70.966999999999999</c:v>
                </c:pt>
                <c:pt idx="11">
                  <c:v>65.227999999999994</c:v>
                </c:pt>
                <c:pt idx="12">
                  <c:v>56.599999999999994</c:v>
                </c:pt>
                <c:pt idx="13">
                  <c:v>53.39</c:v>
                </c:pt>
                <c:pt idx="14">
                  <c:v>52.33</c:v>
                </c:pt>
                <c:pt idx="15">
                  <c:v>49.1</c:v>
                </c:pt>
                <c:pt idx="16">
                  <c:v>47.327500000000001</c:v>
                </c:pt>
                <c:pt idx="17">
                  <c:v>46.957999999999998</c:v>
                </c:pt>
                <c:pt idx="18">
                  <c:v>45.1325</c:v>
                </c:pt>
                <c:pt idx="19">
                  <c:v>43.302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F7-4D60-8D2F-2CE9739E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741600"/>
        <c:axId val="598741120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baseline="0">
                    <a:effectLst/>
                  </a:rPr>
                  <a:t>Month –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5821739454027244"/>
              <c:y val="0.809739520511743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80027561421E-2"/>
              <c:y val="0.122808511596994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598741120"/>
        <c:scaling>
          <c:orientation val="minMax"/>
          <c:min val="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en-US" sz="900" b="0"/>
                  <a:t>Cents per pound</a:t>
                </a:r>
              </a:p>
            </c:rich>
          </c:tx>
          <c:layout>
            <c:manualLayout>
              <c:xMode val="edge"/>
              <c:yMode val="edge"/>
              <c:x val="0.85442506815691965"/>
              <c:y val="0.1335822829013326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98741600"/>
        <c:crosses val="max"/>
        <c:crossBetween val="between"/>
      </c:valAx>
      <c:dateAx>
        <c:axId val="5987416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98741120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3695670208524699"/>
          <c:y val="0.18930192738783186"/>
          <c:w val="0.32294405662825376"/>
          <c:h val="5.0037733518604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rapeseed production, crush and ending stocks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312022564421"/>
          <c:y val="0.19605913547656637"/>
          <c:w val="0.81764634961040594"/>
          <c:h val="0.607140164659858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3'!$B$1</c:f>
              <c:strCache>
                <c:ptCount val="1"/>
                <c:pt idx="0">
                  <c:v>Rapeseed production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 May*</c:v>
                </c:pt>
                <c:pt idx="11">
                  <c:v>2024/25 June*</c:v>
                </c:pt>
              </c:strCache>
            </c:strRef>
          </c:cat>
          <c:val>
            <c:numRef>
              <c:f>'Figure 3'!$B$2:$B$13</c:f>
              <c:numCache>
                <c:formatCode>_(* #,##0.0_);_(* \(#,##0.0\);_(* "-"_);_(@_)</c:formatCode>
                <c:ptCount val="12"/>
                <c:pt idx="0">
                  <c:v>70.989999999999995</c:v>
                </c:pt>
                <c:pt idx="1">
                  <c:v>69.403000000000006</c:v>
                </c:pt>
                <c:pt idx="2">
                  <c:v>70.165000000000006</c:v>
                </c:pt>
                <c:pt idx="3">
                  <c:v>75.796999999999997</c:v>
                </c:pt>
                <c:pt idx="4">
                  <c:v>73.486000000000004</c:v>
                </c:pt>
                <c:pt idx="5">
                  <c:v>70.325000000000003</c:v>
                </c:pt>
                <c:pt idx="6">
                  <c:v>74.754000000000005</c:v>
                </c:pt>
                <c:pt idx="7">
                  <c:v>75.831000000000003</c:v>
                </c:pt>
                <c:pt idx="8">
                  <c:v>88.852000000000004</c:v>
                </c:pt>
                <c:pt idx="9">
                  <c:v>88.742999999999995</c:v>
                </c:pt>
                <c:pt idx="10">
                  <c:v>88.34</c:v>
                </c:pt>
                <c:pt idx="11">
                  <c:v>87.064999999999998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E-4468-B593-F022CD76AFBC}"/>
            </c:ext>
          </c:extLst>
        </c:ser>
        <c:ser>
          <c:idx val="1"/>
          <c:order val="1"/>
          <c:tx>
            <c:strRef>
              <c:f>'Figure 3'!$C$1</c:f>
              <c:strCache>
                <c:ptCount val="1"/>
                <c:pt idx="0">
                  <c:v>Rapeseed crush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3'!$A$2:$A$13</c:f>
              <c:strCache>
                <c:ptCount val="12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 May*</c:v>
                </c:pt>
                <c:pt idx="11">
                  <c:v>2024/25 June*</c:v>
                </c:pt>
              </c:strCache>
            </c:strRef>
          </c:cat>
          <c:val>
            <c:numRef>
              <c:f>'Figure 3'!$C$2:$C$13</c:f>
              <c:numCache>
                <c:formatCode>_(* #,##0.0_);_(* \(#,##0.0\);_(* "-"_);_(@_)</c:formatCode>
                <c:ptCount val="12"/>
                <c:pt idx="0">
                  <c:v>67.561999999999998</c:v>
                </c:pt>
                <c:pt idx="1">
                  <c:v>67.138999999999996</c:v>
                </c:pt>
                <c:pt idx="2">
                  <c:v>67.935000000000002</c:v>
                </c:pt>
                <c:pt idx="3">
                  <c:v>68.915000000000006</c:v>
                </c:pt>
                <c:pt idx="4">
                  <c:v>68.703999999999994</c:v>
                </c:pt>
                <c:pt idx="5">
                  <c:v>69.075999999999993</c:v>
                </c:pt>
                <c:pt idx="6">
                  <c:v>72.106999999999999</c:v>
                </c:pt>
                <c:pt idx="7">
                  <c:v>72.061999999999998</c:v>
                </c:pt>
                <c:pt idx="8">
                  <c:v>81.111999999999995</c:v>
                </c:pt>
                <c:pt idx="9">
                  <c:v>83.745999999999995</c:v>
                </c:pt>
                <c:pt idx="10">
                  <c:v>83.778000000000006</c:v>
                </c:pt>
                <c:pt idx="11">
                  <c:v>82.947999999999993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E-4468-B593-F022CD76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2"/>
          <c:tx>
            <c:strRef>
              <c:f>'Figure 3'!$D$1</c:f>
              <c:strCache>
                <c:ptCount val="1"/>
                <c:pt idx="0">
                  <c:v>Rapeseed ending stocks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3'!$A$2:$A$13</c:f>
              <c:strCache>
                <c:ptCount val="12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</c:v>
                </c:pt>
                <c:pt idx="9">
                  <c:v>2023/24</c:v>
                </c:pt>
                <c:pt idx="10">
                  <c:v>2024/25 May*</c:v>
                </c:pt>
                <c:pt idx="11">
                  <c:v>2024/25 June*</c:v>
                </c:pt>
              </c:strCache>
            </c:strRef>
          </c:cat>
          <c:val>
            <c:numRef>
              <c:f>'Figure 3'!$D$2:$D$13</c:f>
              <c:numCache>
                <c:formatCode>_(* #,##0.0_);_(* \(#,##0.0\);_(* "-"_);_(@_)</c:formatCode>
                <c:ptCount val="12"/>
                <c:pt idx="0">
                  <c:v>7.3710000000000004</c:v>
                </c:pt>
                <c:pt idx="1">
                  <c:v>6.3659999999999997</c:v>
                </c:pt>
                <c:pt idx="2">
                  <c:v>5.3079999999999998</c:v>
                </c:pt>
                <c:pt idx="3">
                  <c:v>8.1430000000000007</c:v>
                </c:pt>
                <c:pt idx="4">
                  <c:v>9.6920000000000002</c:v>
                </c:pt>
                <c:pt idx="5">
                  <c:v>7.5579999999999998</c:v>
                </c:pt>
                <c:pt idx="6">
                  <c:v>6.0330000000000004</c:v>
                </c:pt>
                <c:pt idx="7">
                  <c:v>4.3970000000000002</c:v>
                </c:pt>
                <c:pt idx="8" formatCode="_(* #,##0.0_);_(* \(#,##0.0\);_(* &quot;-&quot;??_);_(@_)">
                  <c:v>8.2769999999999992</c:v>
                </c:pt>
                <c:pt idx="9" formatCode="_(* #,##0.0_);_(* \(#,##0.0\);_(* &quot;-&quot;??_);_(@_)">
                  <c:v>8.3320000000000007</c:v>
                </c:pt>
                <c:pt idx="10" formatCode="_(* #,##0.0_);_(* \(#,##0.0\);_(* &quot;-&quot;??_);_(@_)">
                  <c:v>7.8310000000000004</c:v>
                </c:pt>
                <c:pt idx="11" formatCode="_(* #,##0.0_);_(* \(#,##0.0\);_(* &quot;-&quot;??_);_(@_)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E-4468-B593-F022CD76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725936"/>
        <c:axId val="1544493935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022414048557542"/>
              <c:y val="0.90118626558221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16711729012E-2"/>
              <c:y val="0.11136368201914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54449393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6254870370395087"/>
              <c:y val="0.122465712616048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23725936"/>
        <c:crosses val="max"/>
        <c:crossBetween val="between"/>
      </c:valAx>
      <c:catAx>
        <c:axId val="82372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4493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892378739261519"/>
          <c:y val="0.17360626412149921"/>
          <c:w val="0.65431696016807872"/>
          <c:h val="4.6275232074084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274111</xdr:colOff>
      <xdr:row>0</xdr:row>
      <xdr:rowOff>79376</xdr:rowOff>
    </xdr:from>
    <xdr:to>
      <xdr:col>10</xdr:col>
      <xdr:colOff>420688</xdr:colOff>
      <xdr:row>16</xdr:row>
      <xdr:rowOff>103188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515DB43-9462-4AF0-B9F1-DFA9408B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0.86687</cdr:y>
    </cdr:from>
    <cdr:to>
      <cdr:x>1</cdr:x>
      <cdr:y>0.99116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222499"/>
          <a:ext cx="4424889" cy="318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Service, Global  Agricultural Trade System data.</a:t>
          </a:r>
          <a:endParaRPr lang="en-US" sz="8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312418</xdr:colOff>
      <xdr:row>0</xdr:row>
      <xdr:rowOff>0</xdr:rowOff>
    </xdr:from>
    <xdr:to>
      <xdr:col>13</xdr:col>
      <xdr:colOff>544829</xdr:colOff>
      <xdr:row>23</xdr:row>
      <xdr:rowOff>91440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F66A4A97-F630-6C44-8554-01E6935CF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0.8537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79520"/>
          <a:ext cx="6315438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Note: The May 2024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value is estimated using weighted weekly sales data from USDA, Foreign Agricultural Service's Export Sales report.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USDA, Economic Research Service using USDA, Agricultural Marketing Service data; and USDA, Foreign Agricultural Service, Export Sales and Global Agricultural Trade System data.</a:t>
          </a:r>
          <a:endParaRPr lang="en-US" sz="800" b="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153670</xdr:colOff>
      <xdr:row>0</xdr:row>
      <xdr:rowOff>59267</xdr:rowOff>
    </xdr:from>
    <xdr:to>
      <xdr:col>17</xdr:col>
      <xdr:colOff>330200</xdr:colOff>
      <xdr:row>25</xdr:row>
      <xdr:rowOff>33866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3C338A73-7B9D-46A4-990E-A5027B3CA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0.91181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45417"/>
          <a:ext cx="6859571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database, June 2024.</a:t>
          </a:r>
          <a:endParaRPr lang="en-US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5546875" defaultRowHeight="13.8"/>
  <cols>
    <col min="1" max="1" width="166.88671875" style="12" customWidth="1"/>
    <col min="2" max="16384" width="9.5546875" style="1"/>
  </cols>
  <sheetData>
    <row r="1" spans="1:3">
      <c r="A1" s="7" t="s">
        <v>0</v>
      </c>
      <c r="B1" s="85"/>
      <c r="C1" s="8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5"/>
    </row>
    <row r="5" spans="1:3">
      <c r="A5" s="10" t="s">
        <v>3</v>
      </c>
      <c r="B5" s="4"/>
      <c r="C5" s="85"/>
    </row>
    <row r="6" spans="1:3">
      <c r="A6" s="10" t="s">
        <v>4</v>
      </c>
      <c r="B6" s="4"/>
      <c r="C6" s="85"/>
    </row>
    <row r="7" spans="1:3">
      <c r="A7" s="10" t="s">
        <v>5</v>
      </c>
      <c r="B7" s="4"/>
      <c r="C7" s="85"/>
    </row>
    <row r="8" spans="1:3">
      <c r="A8" s="10" t="s">
        <v>6</v>
      </c>
      <c r="B8" s="4"/>
      <c r="C8" s="85"/>
    </row>
    <row r="9" spans="1:3">
      <c r="A9" s="10" t="s">
        <v>7</v>
      </c>
      <c r="B9" s="4"/>
      <c r="C9" s="85"/>
    </row>
    <row r="10" spans="1:3">
      <c r="A10" s="10" t="s">
        <v>8</v>
      </c>
      <c r="B10" s="4"/>
      <c r="C10" s="85"/>
    </row>
    <row r="11" spans="1:3">
      <c r="A11" s="10" t="s">
        <v>9</v>
      </c>
      <c r="B11" s="4"/>
      <c r="C11" s="85"/>
    </row>
    <row r="12" spans="1:3">
      <c r="A12" s="10" t="s">
        <v>10</v>
      </c>
      <c r="B12" s="4"/>
      <c r="C12" s="85"/>
    </row>
    <row r="13" spans="1:3">
      <c r="A13" s="11" t="s">
        <v>11</v>
      </c>
      <c r="B13" s="4"/>
      <c r="C13" s="85"/>
    </row>
    <row r="14" spans="1:3" ht="13.2">
      <c r="A14" s="85"/>
      <c r="B14" s="85"/>
      <c r="C14" s="85"/>
    </row>
    <row r="15" spans="1:3">
      <c r="A15" s="7" t="s">
        <v>12</v>
      </c>
      <c r="B15" s="85"/>
      <c r="C15" s="85"/>
    </row>
    <row r="16" spans="1:3">
      <c r="A16" s="9">
        <v>45457</v>
      </c>
      <c r="B16" s="85"/>
      <c r="C16" s="8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E44E-95AD-46D7-924E-B739EEC41D1C}">
  <dimension ref="A1:P21"/>
  <sheetViews>
    <sheetView workbookViewId="0"/>
  </sheetViews>
  <sheetFormatPr defaultRowHeight="13.2"/>
  <cols>
    <col min="1" max="1" width="11.33203125" bestFit="1" customWidth="1"/>
    <col min="2" max="2" width="11" bestFit="1" customWidth="1"/>
  </cols>
  <sheetData>
    <row r="1" spans="1:16" ht="26.4">
      <c r="A1" s="168" t="s">
        <v>176</v>
      </c>
      <c r="B1" s="163" t="s">
        <v>158</v>
      </c>
      <c r="C1" s="163" t="s">
        <v>30</v>
      </c>
      <c r="E1" s="169"/>
      <c r="F1" s="169"/>
      <c r="G1" s="169"/>
      <c r="H1" s="169"/>
      <c r="I1" s="169"/>
      <c r="J1" s="169"/>
      <c r="K1" s="169"/>
      <c r="L1" s="170"/>
      <c r="M1" s="169"/>
      <c r="N1" s="169"/>
      <c r="O1" s="169"/>
      <c r="P1" s="169"/>
    </row>
    <row r="2" spans="1:16" ht="15">
      <c r="A2" s="158">
        <v>44835</v>
      </c>
      <c r="B2" s="157">
        <v>72.67</v>
      </c>
      <c r="C2" s="169">
        <v>23.535669242071997</v>
      </c>
    </row>
    <row r="3" spans="1:16" ht="15">
      <c r="A3" s="158">
        <v>44866</v>
      </c>
      <c r="B3" s="157">
        <v>79.180000000000007</v>
      </c>
      <c r="C3" s="169">
        <v>23.447043412747995</v>
      </c>
    </row>
    <row r="4" spans="1:16" ht="15">
      <c r="A4" s="158">
        <v>44896</v>
      </c>
      <c r="B4" s="157">
        <v>68.14</v>
      </c>
      <c r="C4" s="169">
        <v>34.846485593981996</v>
      </c>
    </row>
    <row r="5" spans="1:16" ht="15">
      <c r="A5" s="158">
        <v>44927</v>
      </c>
      <c r="B5" s="157">
        <v>66</v>
      </c>
      <c r="C5" s="169">
        <v>15.408327953441997</v>
      </c>
    </row>
    <row r="6" spans="1:16" ht="15">
      <c r="A6" s="158">
        <v>44958</v>
      </c>
      <c r="B6" s="157">
        <v>63.242500000000007</v>
      </c>
      <c r="C6" s="169">
        <v>25.957888114665991</v>
      </c>
    </row>
    <row r="7" spans="1:16" ht="15">
      <c r="A7" s="158">
        <v>44986</v>
      </c>
      <c r="B7" s="157">
        <v>58.83</v>
      </c>
      <c r="C7" s="169">
        <v>12.803125403387996</v>
      </c>
    </row>
    <row r="8" spans="1:16" ht="15">
      <c r="A8" s="158">
        <v>45017</v>
      </c>
      <c r="B8" s="157">
        <v>55.474999999999994</v>
      </c>
      <c r="C8" s="169">
        <v>60.622933267021985</v>
      </c>
    </row>
    <row r="9" spans="1:16" ht="15">
      <c r="A9" s="158">
        <v>45047</v>
      </c>
      <c r="B9" s="157">
        <v>52.484999999999999</v>
      </c>
      <c r="C9" s="169">
        <v>50.214468953477997</v>
      </c>
    </row>
    <row r="10" spans="1:16" ht="15">
      <c r="A10" s="158">
        <v>45078</v>
      </c>
      <c r="B10" s="157">
        <v>60.007999999999996</v>
      </c>
      <c r="C10" s="169">
        <v>39.898378327711995</v>
      </c>
    </row>
    <row r="11" spans="1:16" ht="15">
      <c r="A11" s="158">
        <v>45108</v>
      </c>
      <c r="B11" s="157">
        <v>70.887499999999989</v>
      </c>
      <c r="C11" s="169">
        <v>37.219320919887998</v>
      </c>
    </row>
    <row r="12" spans="1:16" ht="15">
      <c r="A12" s="158">
        <v>45139</v>
      </c>
      <c r="B12" s="157">
        <v>70.966999999999999</v>
      </c>
      <c r="C12" s="169">
        <v>26.130069141287994</v>
      </c>
    </row>
    <row r="13" spans="1:16" ht="15">
      <c r="A13" s="158">
        <v>45170</v>
      </c>
      <c r="B13" s="157">
        <v>65.227999999999994</v>
      </c>
      <c r="C13" s="169">
        <v>27.990109245781994</v>
      </c>
    </row>
    <row r="14" spans="1:16" ht="15">
      <c r="A14" s="158">
        <v>45200</v>
      </c>
      <c r="B14" s="157">
        <v>56.599999999999994</v>
      </c>
      <c r="C14" s="169">
        <v>12.989195552515998</v>
      </c>
    </row>
    <row r="15" spans="1:16" ht="15">
      <c r="A15" s="158">
        <v>45231</v>
      </c>
      <c r="B15" s="157">
        <v>53.39</v>
      </c>
      <c r="C15" s="169">
        <v>13.806669620011998</v>
      </c>
    </row>
    <row r="16" spans="1:16" ht="15">
      <c r="A16" s="158">
        <v>45261</v>
      </c>
      <c r="B16" s="157">
        <v>52.33</v>
      </c>
      <c r="C16" s="169">
        <v>12.658281697253999</v>
      </c>
    </row>
    <row r="17" spans="1:3" ht="15">
      <c r="A17" s="158">
        <v>45292</v>
      </c>
      <c r="B17" s="157">
        <v>49.1</v>
      </c>
      <c r="C17" s="169">
        <v>11.506366378303998</v>
      </c>
    </row>
    <row r="18" spans="1:3" ht="15">
      <c r="A18" s="158">
        <v>45323</v>
      </c>
      <c r="B18" s="157">
        <v>47.327500000000001</v>
      </c>
      <c r="C18" s="169">
        <v>14.220477285785996</v>
      </c>
    </row>
    <row r="19" spans="1:3" ht="15">
      <c r="A19" s="158">
        <v>45352</v>
      </c>
      <c r="B19" s="157">
        <v>46.957999999999998</v>
      </c>
      <c r="C19" s="169">
        <v>98.746369923371986</v>
      </c>
    </row>
    <row r="20" spans="1:3" ht="15">
      <c r="A20" s="158">
        <v>45383</v>
      </c>
      <c r="B20" s="157">
        <v>45.1325</v>
      </c>
      <c r="C20" s="169">
        <v>22.345834414057997</v>
      </c>
    </row>
    <row r="21" spans="1:3" ht="15">
      <c r="A21" s="158">
        <v>45413</v>
      </c>
      <c r="B21" s="157">
        <v>43.302</v>
      </c>
      <c r="C21" s="169">
        <v>86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5B1F-F1DC-48AB-BC98-2A80471F0B09}">
  <dimension ref="A1:G44"/>
  <sheetViews>
    <sheetView zoomScale="90" zoomScaleNormal="90" workbookViewId="0">
      <selection activeCell="P27" sqref="P27"/>
    </sheetView>
  </sheetViews>
  <sheetFormatPr defaultColWidth="8.88671875" defaultRowHeight="13.2"/>
  <cols>
    <col min="1" max="1" width="14.44140625" style="133" customWidth="1"/>
    <col min="2" max="2" width="12.44140625" style="133" customWidth="1"/>
    <col min="3" max="3" width="10.88671875" style="133" customWidth="1"/>
    <col min="4" max="4" width="15" style="133" customWidth="1"/>
    <col min="5" max="16384" width="8.88671875" style="133"/>
  </cols>
  <sheetData>
    <row r="1" spans="1:7" ht="26.4">
      <c r="A1" s="132" t="s">
        <v>153</v>
      </c>
      <c r="B1" s="132" t="s">
        <v>171</v>
      </c>
      <c r="C1" s="132" t="s">
        <v>172</v>
      </c>
      <c r="D1" s="132" t="s">
        <v>173</v>
      </c>
      <c r="E1" s="143"/>
    </row>
    <row r="2" spans="1:7">
      <c r="A2" s="134" t="s">
        <v>112</v>
      </c>
      <c r="B2" s="135">
        <v>70.989999999999995</v>
      </c>
      <c r="C2" s="135">
        <v>67.561999999999998</v>
      </c>
      <c r="D2" s="135">
        <v>7.3710000000000004</v>
      </c>
      <c r="E2" s="143"/>
    </row>
    <row r="3" spans="1:7">
      <c r="A3" s="134" t="s">
        <v>113</v>
      </c>
      <c r="B3" s="135">
        <v>69.403000000000006</v>
      </c>
      <c r="C3" s="135">
        <v>67.138999999999996</v>
      </c>
      <c r="D3" s="135">
        <v>6.3659999999999997</v>
      </c>
      <c r="E3" s="140"/>
    </row>
    <row r="4" spans="1:7">
      <c r="A4" s="134" t="s">
        <v>114</v>
      </c>
      <c r="B4" s="135">
        <v>70.165000000000006</v>
      </c>
      <c r="C4" s="135">
        <v>67.935000000000002</v>
      </c>
      <c r="D4" s="135">
        <v>5.3079999999999998</v>
      </c>
      <c r="E4" s="140"/>
    </row>
    <row r="5" spans="1:7">
      <c r="A5" s="134" t="s">
        <v>115</v>
      </c>
      <c r="B5" s="135">
        <v>75.796999999999997</v>
      </c>
      <c r="C5" s="135">
        <v>68.915000000000006</v>
      </c>
      <c r="D5" s="135">
        <v>8.1430000000000007</v>
      </c>
      <c r="E5" s="140"/>
    </row>
    <row r="6" spans="1:7">
      <c r="A6" s="134" t="s">
        <v>116</v>
      </c>
      <c r="B6" s="135">
        <v>73.486000000000004</v>
      </c>
      <c r="C6" s="135">
        <v>68.703999999999994</v>
      </c>
      <c r="D6" s="135">
        <v>9.6920000000000002</v>
      </c>
      <c r="E6" s="140"/>
    </row>
    <row r="7" spans="1:7">
      <c r="A7" s="134" t="s">
        <v>117</v>
      </c>
      <c r="B7" s="135">
        <v>70.325000000000003</v>
      </c>
      <c r="C7" s="135">
        <v>69.075999999999993</v>
      </c>
      <c r="D7" s="135">
        <v>7.5579999999999998</v>
      </c>
      <c r="E7" s="140"/>
    </row>
    <row r="8" spans="1:7">
      <c r="A8" s="134" t="s">
        <v>118</v>
      </c>
      <c r="B8" s="137">
        <v>74.754000000000005</v>
      </c>
      <c r="C8" s="136">
        <v>72.106999999999999</v>
      </c>
      <c r="D8" s="136">
        <v>6.0330000000000004</v>
      </c>
      <c r="E8" s="140"/>
    </row>
    <row r="9" spans="1:7">
      <c r="A9" s="134" t="s">
        <v>34</v>
      </c>
      <c r="B9" s="138">
        <v>75.831000000000003</v>
      </c>
      <c r="C9" s="136">
        <v>72.061999999999998</v>
      </c>
      <c r="D9" s="136">
        <v>4.3970000000000002</v>
      </c>
      <c r="E9" s="140"/>
    </row>
    <row r="10" spans="1:7">
      <c r="A10" s="134" t="s">
        <v>37</v>
      </c>
      <c r="B10" s="137">
        <v>88.852000000000004</v>
      </c>
      <c r="C10" s="136">
        <v>81.111999999999995</v>
      </c>
      <c r="D10" s="141">
        <v>8.2769999999999992</v>
      </c>
      <c r="E10" s="140"/>
      <c r="F10" s="142"/>
    </row>
    <row r="11" spans="1:7">
      <c r="A11" s="134" t="s">
        <v>54</v>
      </c>
      <c r="B11" s="138">
        <v>88.742999999999995</v>
      </c>
      <c r="C11" s="136">
        <v>83.745999999999995</v>
      </c>
      <c r="D11" s="141">
        <v>8.3320000000000007</v>
      </c>
      <c r="E11" s="148"/>
    </row>
    <row r="12" spans="1:7">
      <c r="A12" s="134" t="s">
        <v>174</v>
      </c>
      <c r="B12" s="137">
        <v>88.34</v>
      </c>
      <c r="C12" s="136">
        <v>83.778000000000006</v>
      </c>
      <c r="D12" s="141">
        <v>7.8310000000000004</v>
      </c>
      <c r="E12" s="148"/>
      <c r="F12" s="140"/>
      <c r="G12" s="144"/>
    </row>
    <row r="13" spans="1:7">
      <c r="A13" s="134" t="s">
        <v>175</v>
      </c>
      <c r="B13" s="137">
        <v>87.064999999999998</v>
      </c>
      <c r="C13" s="136">
        <v>82.947999999999993</v>
      </c>
      <c r="D13" s="141">
        <v>7.5</v>
      </c>
      <c r="E13" s="140"/>
      <c r="F13" s="144"/>
    </row>
    <row r="14" spans="1:7">
      <c r="B14" s="145"/>
      <c r="C14" s="145"/>
      <c r="D14" s="145"/>
    </row>
    <row r="15" spans="1:7">
      <c r="B15" s="139"/>
    </row>
    <row r="16" spans="1:7">
      <c r="B16" s="139"/>
      <c r="C16" s="139"/>
      <c r="D16" s="139"/>
    </row>
    <row r="17" spans="2:4">
      <c r="B17" s="139"/>
      <c r="C17" s="139"/>
      <c r="D17" s="139"/>
    </row>
    <row r="18" spans="2:4">
      <c r="B18" s="139"/>
      <c r="C18" s="139"/>
      <c r="D18" s="139"/>
    </row>
    <row r="19" spans="2:4">
      <c r="B19" s="139"/>
      <c r="C19" s="139"/>
      <c r="D19" s="139"/>
    </row>
    <row r="20" spans="2:4">
      <c r="B20" s="139"/>
      <c r="C20" s="139"/>
      <c r="D20" s="139"/>
    </row>
    <row r="21" spans="2:4">
      <c r="B21" s="139"/>
      <c r="C21" s="139"/>
      <c r="D21" s="139"/>
    </row>
    <row r="22" spans="2:4">
      <c r="B22" s="139"/>
      <c r="C22" s="139"/>
      <c r="D22" s="139"/>
    </row>
    <row r="23" spans="2:4">
      <c r="B23" s="139"/>
      <c r="C23" s="139"/>
      <c r="D23" s="139"/>
    </row>
    <row r="24" spans="2:4">
      <c r="B24" s="139"/>
      <c r="C24" s="139"/>
      <c r="D24" s="139"/>
    </row>
    <row r="25" spans="2:4">
      <c r="B25" s="139"/>
      <c r="C25" s="139"/>
      <c r="D25" s="139"/>
    </row>
    <row r="26" spans="2:4">
      <c r="B26" s="113"/>
    </row>
    <row r="27" spans="2:4">
      <c r="B27" s="113"/>
    </row>
    <row r="28" spans="2:4">
      <c r="B28" s="113"/>
    </row>
    <row r="29" spans="2:4">
      <c r="B29" s="113"/>
    </row>
    <row r="30" spans="2:4">
      <c r="B30" s="113"/>
    </row>
    <row r="31" spans="2:4">
      <c r="B31" s="113"/>
    </row>
    <row r="32" spans="2:4">
      <c r="B32" s="113"/>
    </row>
    <row r="33" spans="2:2">
      <c r="B33" s="113"/>
    </row>
    <row r="34" spans="2:2">
      <c r="B34" s="113"/>
    </row>
    <row r="35" spans="2:2">
      <c r="B35" s="113"/>
    </row>
    <row r="36" spans="2:2">
      <c r="B36" s="113"/>
    </row>
    <row r="37" spans="2:2">
      <c r="B37" s="113"/>
    </row>
    <row r="38" spans="2:2">
      <c r="B38" s="113"/>
    </row>
    <row r="39" spans="2:2">
      <c r="B39" s="113"/>
    </row>
    <row r="40" spans="2:2">
      <c r="B40" s="113"/>
    </row>
    <row r="41" spans="2:2">
      <c r="B41" s="113"/>
    </row>
    <row r="42" spans="2:2">
      <c r="B42" s="113"/>
    </row>
    <row r="43" spans="2:2">
      <c r="B43" s="113"/>
    </row>
    <row r="44" spans="2:2">
      <c r="B44" s="113"/>
    </row>
  </sheetData>
  <phoneticPr fontId="45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5"/>
  <sheetViews>
    <sheetView showGridLines="0" zoomScale="70" zoomScaleNormal="70" workbookViewId="0"/>
  </sheetViews>
  <sheetFormatPr defaultColWidth="9.109375" defaultRowHeight="13.2"/>
  <cols>
    <col min="1" max="1" width="21.5546875" customWidth="1"/>
    <col min="2" max="2" width="14.109375" customWidth="1"/>
    <col min="3" max="3" width="9.5546875" customWidth="1"/>
    <col min="4" max="4" width="26.5546875" customWidth="1"/>
    <col min="5" max="5" width="9.5546875" customWidth="1"/>
    <col min="6" max="6" width="10.5546875" customWidth="1"/>
    <col min="7" max="7" width="19.88671875" customWidth="1"/>
    <col min="8" max="8" width="9.5546875" customWidth="1"/>
    <col min="9" max="9" width="1.5546875" customWidth="1"/>
    <col min="10" max="10" width="14.5546875" customWidth="1"/>
    <col min="11" max="12" width="10.5546875" customWidth="1"/>
    <col min="13" max="13" width="10.44140625" customWidth="1"/>
    <col min="14" max="14" width="9.5546875" customWidth="1"/>
    <col min="17" max="17" width="15.44140625" bestFit="1" customWidth="1"/>
    <col min="18" max="18" width="13.441406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29"/>
      <c r="D2" s="17" t="s">
        <v>14</v>
      </c>
      <c r="E2" s="18"/>
      <c r="F2" s="129" t="s">
        <v>15</v>
      </c>
      <c r="G2" s="129"/>
      <c r="H2" s="129"/>
      <c r="I2" s="15"/>
      <c r="J2" s="18"/>
      <c r="K2" s="129"/>
      <c r="L2" s="19" t="s">
        <v>16</v>
      </c>
      <c r="M2" s="129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131" t="s">
        <v>31</v>
      </c>
      <c r="C5" s="130"/>
      <c r="D5" s="27" t="s">
        <v>32</v>
      </c>
      <c r="G5" s="131"/>
      <c r="I5" s="131"/>
      <c r="J5" s="131" t="s">
        <v>33</v>
      </c>
      <c r="K5" s="131"/>
      <c r="L5" s="131"/>
      <c r="M5" s="131"/>
      <c r="N5" s="131"/>
      <c r="W5" s="26"/>
    </row>
    <row r="6" spans="1:23" ht="16.5" customHeight="1">
      <c r="A6" s="15" t="s">
        <v>37</v>
      </c>
      <c r="B6" s="114">
        <v>87.45</v>
      </c>
      <c r="C6" s="114">
        <v>86.174000000000007</v>
      </c>
      <c r="D6" s="114">
        <f>F6/C6</f>
        <v>49.555329913895143</v>
      </c>
      <c r="E6" s="115">
        <v>274.39400000000001</v>
      </c>
      <c r="F6" s="116">
        <v>4270.3810000000003</v>
      </c>
      <c r="G6" s="28">
        <f>G27</f>
        <v>24.512114749955</v>
      </c>
      <c r="H6" s="28">
        <f>SUM(E6:G6)</f>
        <v>4569.2871147499554</v>
      </c>
      <c r="I6" s="15"/>
      <c r="J6" s="116">
        <f>J27</f>
        <v>2211.9384453555185</v>
      </c>
      <c r="K6" s="116">
        <f>M6-L6-J6</f>
        <v>101.34858267427353</v>
      </c>
      <c r="L6" s="28">
        <f>L27</f>
        <v>1991.816086720163</v>
      </c>
      <c r="M6" s="28">
        <f>H6-N6</f>
        <v>4305.1031147499552</v>
      </c>
      <c r="N6" s="28">
        <v>264.18400000000003</v>
      </c>
    </row>
    <row r="7" spans="1:23" ht="16.5" customHeight="1">
      <c r="A7" s="15" t="s">
        <v>155</v>
      </c>
      <c r="B7" s="114">
        <v>83.6</v>
      </c>
      <c r="C7" s="114">
        <v>82.355999999999995</v>
      </c>
      <c r="D7" s="114">
        <f>F7/C7</f>
        <v>50.569199572587301</v>
      </c>
      <c r="E7" s="115">
        <f>N6</f>
        <v>264.18400000000003</v>
      </c>
      <c r="F7" s="116">
        <v>4164.6769999999997</v>
      </c>
      <c r="G7" s="28">
        <v>25</v>
      </c>
      <c r="H7" s="28">
        <f>SUM(E7:G7)</f>
        <v>4453.8609999999999</v>
      </c>
      <c r="I7" s="15"/>
      <c r="J7" s="116">
        <v>2290</v>
      </c>
      <c r="K7" s="172">
        <v>113.76600000000001</v>
      </c>
      <c r="L7" s="28">
        <v>1700</v>
      </c>
      <c r="M7" s="28">
        <f>SUM(J7:L7)</f>
        <v>4103.7659999999996</v>
      </c>
      <c r="N7" s="28">
        <f>H7-M7</f>
        <v>350.09500000000025</v>
      </c>
      <c r="P7" s="173"/>
    </row>
    <row r="8" spans="1:23" ht="16.5" customHeight="1">
      <c r="A8" s="15" t="s">
        <v>156</v>
      </c>
      <c r="B8" s="114">
        <v>86.51</v>
      </c>
      <c r="C8" s="114">
        <v>85.6</v>
      </c>
      <c r="D8" s="114">
        <f>F8/C8</f>
        <v>51.985981308411219</v>
      </c>
      <c r="E8" s="115">
        <f>N7</f>
        <v>350.09500000000025</v>
      </c>
      <c r="F8" s="116">
        <v>4450</v>
      </c>
      <c r="G8" s="28">
        <v>15</v>
      </c>
      <c r="H8" s="28">
        <f>SUM(E8:G8)</f>
        <v>4815.0950000000003</v>
      </c>
      <c r="I8" s="15"/>
      <c r="J8" s="116">
        <v>2425</v>
      </c>
      <c r="K8" s="172">
        <v>110</v>
      </c>
      <c r="L8" s="28">
        <v>1825</v>
      </c>
      <c r="M8" s="28">
        <f>SUM(J8:L8)</f>
        <v>4360</v>
      </c>
      <c r="N8" s="28">
        <f>H8-M8</f>
        <v>455.09500000000025</v>
      </c>
      <c r="P8" s="173"/>
      <c r="Q8" s="173"/>
    </row>
    <row r="9" spans="1:23" ht="16.5" customHeight="1">
      <c r="A9" s="15"/>
      <c r="B9" s="15"/>
      <c r="C9" s="15"/>
      <c r="D9" s="15"/>
      <c r="E9" s="29"/>
      <c r="F9" s="29"/>
      <c r="G9" s="30"/>
      <c r="H9" s="29"/>
      <c r="I9" s="29"/>
      <c r="J9" s="30"/>
      <c r="K9" s="30"/>
      <c r="L9" s="30"/>
      <c r="M9" s="30"/>
      <c r="N9" s="30"/>
    </row>
    <row r="10" spans="1:23" ht="16.5" customHeight="1">
      <c r="A10" s="31" t="s">
        <v>37</v>
      </c>
      <c r="B10" s="86"/>
      <c r="C10" s="86"/>
      <c r="D10" s="86"/>
      <c r="E10" s="33"/>
      <c r="F10" s="33"/>
      <c r="G10" s="6"/>
      <c r="H10" s="13"/>
      <c r="I10" s="86"/>
      <c r="J10" s="13"/>
      <c r="K10" s="32"/>
      <c r="L10" s="6"/>
      <c r="M10" s="6"/>
      <c r="N10" s="13"/>
    </row>
    <row r="11" spans="1:23" ht="16.5" customHeight="1">
      <c r="A11" s="15" t="s">
        <v>38</v>
      </c>
      <c r="B11" s="86"/>
      <c r="C11" s="86"/>
      <c r="D11" s="86"/>
      <c r="E11" s="33"/>
      <c r="F11" s="33"/>
      <c r="G11" s="6">
        <f>(31794.8*36.74371)/1000000</f>
        <v>1.1682589107079999</v>
      </c>
      <c r="H11" s="13"/>
      <c r="I11" s="86"/>
      <c r="J11" s="6">
        <f>((5028287*0.907185)*36.74371)/1000000</f>
        <v>167.60961304264146</v>
      </c>
      <c r="K11" s="32"/>
      <c r="L11" s="6">
        <f>(2077930.3*36.74371)/1000000</f>
        <v>76.350868343412998</v>
      </c>
      <c r="M11" s="6"/>
      <c r="N11" s="13"/>
      <c r="Q11" s="89"/>
    </row>
    <row r="12" spans="1:23" ht="16.5" customHeight="1">
      <c r="A12" s="15" t="s">
        <v>39</v>
      </c>
      <c r="B12" s="86"/>
      <c r="C12" s="86"/>
      <c r="D12" s="86"/>
      <c r="E12" s="33"/>
      <c r="F12" s="33"/>
      <c r="G12" s="6">
        <f>(33827.2*36.74371)/1000000</f>
        <v>1.2429368269119998</v>
      </c>
      <c r="H12" s="13"/>
      <c r="I12" s="86"/>
      <c r="J12" s="6">
        <f>((5899694*0.907185)*36.74371)/1000000</f>
        <v>196.65652107964277</v>
      </c>
      <c r="K12" s="32"/>
      <c r="L12" s="6">
        <f>(9947619.5*36.74371)/1000000</f>
        <v>365.51244609834498</v>
      </c>
      <c r="M12" s="6"/>
      <c r="N12" s="13"/>
      <c r="Q12" s="89"/>
    </row>
    <row r="13" spans="1:23" ht="16.5" customHeight="1">
      <c r="A13" s="15" t="s">
        <v>40</v>
      </c>
      <c r="B13" s="86"/>
      <c r="C13" s="86"/>
      <c r="D13" s="86"/>
      <c r="E13" s="33"/>
      <c r="F13" s="33"/>
      <c r="G13" s="6">
        <f>(35058.7*36.74371)/1000000</f>
        <v>1.288186705777</v>
      </c>
      <c r="H13" s="13"/>
      <c r="I13" s="86"/>
      <c r="J13" s="6">
        <f>((5687098*0.907185)*36.74371)/1000000</f>
        <v>189.56998578553299</v>
      </c>
      <c r="K13" s="32"/>
      <c r="L13" s="6">
        <f>(9794669.4*36.74371)/1000000</f>
        <v>359.89249197947402</v>
      </c>
      <c r="M13" s="6"/>
      <c r="N13" s="13"/>
      <c r="Q13" s="89"/>
    </row>
    <row r="14" spans="1:23" ht="16.5" customHeight="1">
      <c r="A14" s="15" t="s">
        <v>41</v>
      </c>
      <c r="B14" s="86"/>
      <c r="C14" s="86"/>
      <c r="D14" s="86"/>
      <c r="E14" s="33">
        <f>N6</f>
        <v>264.18400000000003</v>
      </c>
      <c r="F14" s="33">
        <v>4270.3810000000003</v>
      </c>
      <c r="G14" s="6">
        <f>SUM(G11:G13)</f>
        <v>3.699382443397</v>
      </c>
      <c r="H14" s="13">
        <f>SUM(E14:G14)</f>
        <v>4538.2643824433972</v>
      </c>
      <c r="I14" s="86"/>
      <c r="J14" s="6">
        <f>SUM(J11:J13)</f>
        <v>553.83611990781719</v>
      </c>
      <c r="K14" s="32">
        <f>M14-L14-J14</f>
        <v>161.52045611434789</v>
      </c>
      <c r="L14" s="6">
        <f>SUM(L11:L13)</f>
        <v>801.75580642123202</v>
      </c>
      <c r="M14" s="6">
        <f>H14-N14</f>
        <v>1517.1123824433971</v>
      </c>
      <c r="N14" s="13">
        <f>3021.152</f>
        <v>3021.152</v>
      </c>
    </row>
    <row r="15" spans="1:23" ht="16.5" customHeight="1">
      <c r="A15" s="15" t="s">
        <v>42</v>
      </c>
      <c r="B15" s="86"/>
      <c r="C15" s="86"/>
      <c r="D15" s="86"/>
      <c r="E15" s="33"/>
      <c r="F15" s="91"/>
      <c r="G15" s="6">
        <f>(36017.3*36.74371)/1000000</f>
        <v>1.3234092261829999</v>
      </c>
      <c r="H15" s="13"/>
      <c r="I15" s="86"/>
      <c r="J15" s="6">
        <f>((5622561*0.907185)*36.74371)/1000000</f>
        <v>187.41875185697378</v>
      </c>
      <c r="K15" s="32"/>
      <c r="L15" s="6">
        <f>(7968849.1*36.74371)/1000000</f>
        <v>292.80508036416103</v>
      </c>
      <c r="M15" s="6"/>
      <c r="N15" s="13"/>
    </row>
    <row r="16" spans="1:23" ht="16.5" customHeight="1">
      <c r="A16" s="15" t="s">
        <v>43</v>
      </c>
      <c r="B16" s="86"/>
      <c r="C16" s="86"/>
      <c r="D16" s="86"/>
      <c r="E16" s="33"/>
      <c r="F16" s="91"/>
      <c r="G16" s="6">
        <f>(5893.9*36.74371)/1000000</f>
        <v>0.216563752369</v>
      </c>
      <c r="H16" s="13"/>
      <c r="I16" s="86"/>
      <c r="J16" s="6">
        <f>((5734398*0.907185)*36.74371)/1000000</f>
        <v>191.14665288844833</v>
      </c>
      <c r="K16" s="32"/>
      <c r="L16" s="6">
        <f>(8559125.5*36.74371)/1000000</f>
        <v>314.49402522560501</v>
      </c>
      <c r="M16" s="6"/>
      <c r="N16" s="13"/>
    </row>
    <row r="17" spans="1:24" ht="16.5" customHeight="1">
      <c r="A17" s="15" t="s">
        <v>44</v>
      </c>
      <c r="B17" s="86"/>
      <c r="C17" s="86"/>
      <c r="D17" s="86"/>
      <c r="E17" s="33"/>
      <c r="F17" s="91"/>
      <c r="G17" s="6">
        <f>(27761.8*36.7371)/1000000</f>
        <v>1.0198880227799998</v>
      </c>
      <c r="H17" s="13"/>
      <c r="I17" s="86"/>
      <c r="J17" s="6">
        <f>((5306995*0.907185)*36.74371)/1000000</f>
        <v>176.89988227983665</v>
      </c>
      <c r="K17" s="32"/>
      <c r="L17" s="6">
        <f>(5374314*36.74371)/1000000</f>
        <v>197.47223506494001</v>
      </c>
      <c r="M17" s="6"/>
      <c r="N17" s="13"/>
      <c r="Q17" s="89"/>
    </row>
    <row r="18" spans="1:24" ht="16.5" customHeight="1">
      <c r="A18" s="15" t="s">
        <v>45</v>
      </c>
      <c r="B18" s="86"/>
      <c r="C18" s="86"/>
      <c r="D18" s="86"/>
      <c r="E18" s="33">
        <f>N14</f>
        <v>3021.152</v>
      </c>
      <c r="F18" s="91"/>
      <c r="G18" s="6">
        <f>SUM(G15:G17)</f>
        <v>2.559861001332</v>
      </c>
      <c r="H18" s="13">
        <f>SUM(E18:G18)</f>
        <v>3023.7118610013322</v>
      </c>
      <c r="I18" s="86"/>
      <c r="J18" s="6">
        <f>SUM(J15:J17)</f>
        <v>555.46528702525882</v>
      </c>
      <c r="K18" s="32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5"/>
    </row>
    <row r="19" spans="1:24" ht="16.5" customHeight="1">
      <c r="A19" s="15" t="s">
        <v>46</v>
      </c>
      <c r="B19" s="86"/>
      <c r="C19" s="86"/>
      <c r="D19" s="86"/>
      <c r="E19" s="33"/>
      <c r="F19" s="91"/>
      <c r="G19" s="6">
        <f>(34752.6*36.74371)/1000000</f>
        <v>1.2769394561459999</v>
      </c>
      <c r="H19" s="13"/>
      <c r="I19" s="86"/>
      <c r="J19" s="6">
        <f>((5939012*0.907185)*36.74371)/1000000</f>
        <v>197.96712144227334</v>
      </c>
      <c r="K19" s="32"/>
      <c r="L19" s="6">
        <f>(3135729.4*36.74371)/1000000</f>
        <v>115.21833171207399</v>
      </c>
      <c r="M19" s="6"/>
      <c r="N19" s="13"/>
      <c r="Q19" s="89"/>
    </row>
    <row r="20" spans="1:24" ht="16.5" customHeight="1">
      <c r="A20" s="15" t="s">
        <v>47</v>
      </c>
      <c r="B20" s="86"/>
      <c r="C20" s="86"/>
      <c r="D20" s="86"/>
      <c r="E20" s="33"/>
      <c r="F20" s="91"/>
      <c r="G20" s="6">
        <f>(8485.3*36.74371)/1000000</f>
        <v>0.31178140246299996</v>
      </c>
      <c r="H20" s="13"/>
      <c r="I20" s="86"/>
      <c r="J20" s="6">
        <f>((5609607*0.907185)*36.74371)/1000000</f>
        <v>186.98695173749888</v>
      </c>
      <c r="K20" s="32"/>
      <c r="L20" s="6">
        <f>(2554266.9*36.74371)/1000000</f>
        <v>93.853242236198994</v>
      </c>
      <c r="M20" s="6"/>
      <c r="N20" s="13"/>
    </row>
    <row r="21" spans="1:24" ht="16.5" customHeight="1">
      <c r="A21" s="15" t="s">
        <v>48</v>
      </c>
      <c r="B21" s="86"/>
      <c r="C21" s="86"/>
      <c r="D21" s="86"/>
      <c r="E21" s="33"/>
      <c r="F21" s="91"/>
      <c r="G21" s="6">
        <f>(126995.3*36.74371)/1000000</f>
        <v>4.6662784745629997</v>
      </c>
      <c r="H21" s="13"/>
      <c r="I21" s="86"/>
      <c r="J21" s="6">
        <f>((5679096*0.907185)*36.74371)/1000000</f>
        <v>189.30325237839708</v>
      </c>
      <c r="K21" s="32"/>
      <c r="L21" s="6">
        <f>(986447.6*36.74371)/1000000</f>
        <v>36.245744544596</v>
      </c>
      <c r="M21" s="6"/>
      <c r="N21" s="13"/>
      <c r="P21" s="86"/>
      <c r="Q21" s="89"/>
    </row>
    <row r="22" spans="1:24" ht="16.5" customHeight="1">
      <c r="A22" s="15" t="s">
        <v>49</v>
      </c>
      <c r="B22" s="86"/>
      <c r="C22" s="86"/>
      <c r="D22" s="86"/>
      <c r="E22" s="33">
        <f>N18</f>
        <v>1686.6320000000001</v>
      </c>
      <c r="F22" s="91"/>
      <c r="G22" s="6">
        <f>SUM(G19:G21)</f>
        <v>6.254999333172</v>
      </c>
      <c r="H22" s="13">
        <f>SUM(E22:G22)</f>
        <v>1692.8869993331721</v>
      </c>
      <c r="I22" s="86"/>
      <c r="J22" s="6">
        <f>SUM(J19:J21)</f>
        <v>574.25732555816921</v>
      </c>
      <c r="K22" s="32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6"/>
    </row>
    <row r="23" spans="1:24" ht="16.5" customHeight="1">
      <c r="A23" s="15" t="s">
        <v>50</v>
      </c>
      <c r="B23" s="86"/>
      <c r="C23" s="86"/>
      <c r="D23" s="86"/>
      <c r="E23" s="33"/>
      <c r="F23" s="91"/>
      <c r="G23" s="6">
        <f>(166679*36.744)/1000000</f>
        <v>6.1244531760000003</v>
      </c>
      <c r="H23" s="13"/>
      <c r="I23" s="86"/>
      <c r="J23" s="6">
        <f>((5236516*0.907185)*36.74371)/1000000</f>
        <v>174.55058162980768</v>
      </c>
      <c r="K23" s="32"/>
      <c r="L23" s="6">
        <f>(831037.3*36.74371)/1000000</f>
        <v>30.535393550383002</v>
      </c>
      <c r="M23" s="6"/>
      <c r="N23" s="13"/>
    </row>
    <row r="24" spans="1:24" ht="16.5" customHeight="1">
      <c r="A24" s="15" t="s">
        <v>51</v>
      </c>
      <c r="B24" s="86"/>
      <c r="C24" s="86"/>
      <c r="D24" s="86"/>
      <c r="E24" s="33"/>
      <c r="F24" s="91"/>
      <c r="G24" s="6">
        <f>(114325.1*36.74371)/1000000</f>
        <v>4.2007283201210006</v>
      </c>
      <c r="H24" s="13"/>
      <c r="I24" s="86"/>
      <c r="J24" s="6">
        <f>((5545001*0.907185)*36.74371)/1000000</f>
        <v>184.83341780830332</v>
      </c>
      <c r="K24" s="32"/>
      <c r="L24" s="6">
        <f>(1275803.3*36.74371)/1000000</f>
        <v>46.877746472243004</v>
      </c>
      <c r="M24" s="6"/>
      <c r="N24" s="13"/>
      <c r="Q24" s="89"/>
    </row>
    <row r="25" spans="1:24" ht="16.5" customHeight="1">
      <c r="A25" s="15" t="s">
        <v>52</v>
      </c>
      <c r="B25" s="86"/>
      <c r="C25" s="86"/>
      <c r="D25" s="86"/>
      <c r="E25" s="33"/>
      <c r="F25" s="91"/>
      <c r="G25" s="6">
        <f>(45519.5*36.74371)/1000000</f>
        <v>1.6725553073450001</v>
      </c>
      <c r="H25" s="13"/>
      <c r="I25" s="86"/>
      <c r="J25" s="6">
        <f>((5069870*0.907185)*36.74371)/1000000</f>
        <v>168.99571342616218</v>
      </c>
      <c r="K25" s="32"/>
      <c r="L25" s="6">
        <f>(1702563*36.74371)/1000000</f>
        <v>62.558481128730001</v>
      </c>
      <c r="M25" s="6"/>
      <c r="N25" s="13"/>
    </row>
    <row r="26" spans="1:24" ht="16.5" customHeight="1">
      <c r="A26" s="15" t="s">
        <v>53</v>
      </c>
      <c r="B26" s="86"/>
      <c r="C26" s="86"/>
      <c r="D26" s="86"/>
      <c r="E26" s="33">
        <f>N22</f>
        <v>796.38800000000003</v>
      </c>
      <c r="F26" s="91"/>
      <c r="G26" s="6">
        <f>SUM(G23:G25)</f>
        <v>11.997736803466001</v>
      </c>
      <c r="H26" s="13">
        <f>SUM(E26:G26)</f>
        <v>808.38573680346599</v>
      </c>
      <c r="I26" s="86"/>
      <c r="J26" s="6">
        <f>SUM(J23:J25)</f>
        <v>528.37971286427319</v>
      </c>
      <c r="K26" s="32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4">
        <v>264.18400000000003</v>
      </c>
    </row>
    <row r="27" spans="1:24" ht="16.5" customHeight="1">
      <c r="A27" s="15" t="s">
        <v>28</v>
      </c>
      <c r="B27" s="86"/>
      <c r="C27" s="86"/>
      <c r="D27" s="86"/>
      <c r="E27" s="33"/>
      <c r="F27" s="91"/>
      <c r="G27" s="103">
        <f>(667110.5*36.74371)/1000000</f>
        <v>24.512114749955</v>
      </c>
      <c r="H27" s="97"/>
      <c r="I27" s="98"/>
      <c r="J27" s="6">
        <f>SUM(J14,J18,J22,J26)</f>
        <v>2211.9384453555185</v>
      </c>
      <c r="K27" s="99"/>
      <c r="L27" s="6">
        <f>(54208355.3*36.74371)/1000000</f>
        <v>1991.816086720163</v>
      </c>
      <c r="M27" s="6"/>
      <c r="N27" s="13"/>
      <c r="Q27" s="89"/>
    </row>
    <row r="28" spans="1:24" ht="16.5" customHeight="1">
      <c r="A28" s="15"/>
      <c r="B28" s="86"/>
      <c r="C28" s="86"/>
      <c r="D28" s="86"/>
      <c r="E28" s="33"/>
      <c r="F28" s="33"/>
      <c r="G28" s="6"/>
      <c r="H28" s="13"/>
      <c r="I28" s="86"/>
      <c r="J28" s="13"/>
      <c r="K28" s="32"/>
      <c r="L28" s="6"/>
      <c r="M28" s="6"/>
      <c r="N28" s="13"/>
      <c r="R28" s="86"/>
    </row>
    <row r="29" spans="1:24" ht="16.5" customHeight="1">
      <c r="A29" s="31" t="s">
        <v>54</v>
      </c>
      <c r="B29" s="86"/>
      <c r="C29" s="86"/>
      <c r="D29" s="86"/>
      <c r="E29" s="33"/>
      <c r="F29" s="33"/>
      <c r="G29" s="6"/>
      <c r="H29" s="13"/>
      <c r="I29" s="86"/>
      <c r="J29" s="13"/>
      <c r="K29" s="32"/>
      <c r="L29" s="6"/>
      <c r="M29" s="6"/>
      <c r="N29" s="13"/>
      <c r="Q29" s="86"/>
      <c r="V29" s="101"/>
      <c r="X29" s="102"/>
    </row>
    <row r="30" spans="1:24" ht="16.5" customHeight="1">
      <c r="A30" s="15" t="s">
        <v>38</v>
      </c>
      <c r="B30" s="86"/>
      <c r="C30" s="86"/>
      <c r="D30" s="86"/>
      <c r="E30" s="33"/>
      <c r="F30" s="33"/>
      <c r="G30" s="6">
        <f>(37462.8*36.74371)/1000000</f>
        <v>1.3765222589880002</v>
      </c>
      <c r="H30" s="13"/>
      <c r="I30" s="86"/>
      <c r="J30" s="6">
        <f>((5242931*0.907185)*36.74371)/1000000</f>
        <v>174.76441502230665</v>
      </c>
      <c r="K30" s="32"/>
      <c r="L30" s="6">
        <f>(2471110*36.74371)/1000000</f>
        <v>90.797749218099995</v>
      </c>
      <c r="M30" s="6"/>
      <c r="N30" s="13"/>
      <c r="T30" s="100"/>
    </row>
    <row r="31" spans="1:24" ht="16.5" customHeight="1">
      <c r="A31" s="15" t="s">
        <v>39</v>
      </c>
      <c r="B31" s="86"/>
      <c r="C31" s="86"/>
      <c r="D31" s="86"/>
      <c r="E31" s="33"/>
      <c r="F31" s="33"/>
      <c r="G31" s="6">
        <f>(19548.9*36.74371)/1000000</f>
        <v>0.71829911241900002</v>
      </c>
      <c r="H31" s="13"/>
      <c r="I31" s="86"/>
      <c r="J31" s="6">
        <f>((6041685*0.907185)*36.74371)/1000000</f>
        <v>201.38955572256145</v>
      </c>
      <c r="K31" s="32"/>
      <c r="L31" s="6">
        <f>(9477743.2*36.74371)/1000000</f>
        <v>348.24744759527192</v>
      </c>
      <c r="M31" s="6"/>
      <c r="N31" s="13"/>
      <c r="T31" s="100"/>
    </row>
    <row r="32" spans="1:24" ht="16.5" customHeight="1">
      <c r="A32" s="15" t="s">
        <v>40</v>
      </c>
      <c r="B32" s="86"/>
      <c r="C32" s="86"/>
      <c r="D32" s="86"/>
      <c r="E32" s="33"/>
      <c r="F32" s="33"/>
      <c r="G32" s="6">
        <f>(46150.7*36.74371)/1000000</f>
        <v>1.6957479370969999</v>
      </c>
      <c r="H32" s="13"/>
      <c r="I32" s="86"/>
      <c r="J32" s="6">
        <f>((6002708*0.907185)*36.74371)/1000000</f>
        <v>200.09032202974259</v>
      </c>
      <c r="K32" s="32"/>
      <c r="L32" s="6">
        <f>(7463380.7*36.74371)/1000000</f>
        <v>274.232296060397</v>
      </c>
      <c r="M32" s="6"/>
      <c r="N32" s="112"/>
      <c r="T32" s="100"/>
    </row>
    <row r="33" spans="1:20" ht="16.5" customHeight="1">
      <c r="A33" s="15" t="s">
        <v>41</v>
      </c>
      <c r="B33" s="86"/>
      <c r="C33" s="86"/>
      <c r="D33" s="86"/>
      <c r="E33" s="33">
        <f>N26</f>
        <v>264.18400000000003</v>
      </c>
      <c r="F33" s="33">
        <v>4164.6769999999997</v>
      </c>
      <c r="G33" s="6">
        <f>SUM(G30:G32)</f>
        <v>3.7905693085040002</v>
      </c>
      <c r="H33" s="13">
        <f>SUM(E33:G33)</f>
        <v>4432.6515693085039</v>
      </c>
      <c r="I33" s="86"/>
      <c r="J33" s="6">
        <f>SUM(J30:J32)</f>
        <v>576.2442927746107</v>
      </c>
      <c r="K33" s="32">
        <f>M33-L33-J33</f>
        <v>142.41078366012414</v>
      </c>
      <c r="L33" s="6">
        <f>SUM(L30:L32)</f>
        <v>713.27749287376901</v>
      </c>
      <c r="M33" s="6">
        <f>H33-N33</f>
        <v>1431.9325693085038</v>
      </c>
      <c r="N33" s="117">
        <v>3000.7190000000001</v>
      </c>
      <c r="T33" s="100"/>
    </row>
    <row r="34" spans="1:20" ht="16.5" customHeight="1">
      <c r="A34" s="15" t="s">
        <v>42</v>
      </c>
      <c r="B34" s="86"/>
      <c r="C34" s="86"/>
      <c r="D34" s="86"/>
      <c r="E34" s="33"/>
      <c r="F34" s="33"/>
      <c r="G34" s="6">
        <f>(18657.9*36.74371)/1000000</f>
        <v>0.68556046680899996</v>
      </c>
      <c r="H34" s="13"/>
      <c r="I34" s="86"/>
      <c r="J34" s="6">
        <f>((6128558*0.907185)*36.74371)/1000000</f>
        <v>204.28532319045925</v>
      </c>
      <c r="K34" s="32"/>
      <c r="L34" s="6">
        <f>(4824464.6*36.74371)/1000000</f>
        <v>177.26872816766598</v>
      </c>
      <c r="M34" s="6"/>
      <c r="N34" s="117"/>
      <c r="T34" s="100"/>
    </row>
    <row r="35" spans="1:20" ht="16.5" customHeight="1">
      <c r="A35" s="15" t="s">
        <v>43</v>
      </c>
      <c r="B35" s="86"/>
      <c r="C35" s="86"/>
      <c r="D35" s="86"/>
      <c r="E35" s="33"/>
      <c r="F35" s="33"/>
      <c r="G35" s="6">
        <f>(25838.2*36.74371)/1000000</f>
        <v>0.94939132772200008</v>
      </c>
      <c r="H35" s="13"/>
      <c r="I35" s="86"/>
      <c r="J35" s="6">
        <f>((5844947*0.907185)*36.74371)/1000000</f>
        <v>194.83162057471029</v>
      </c>
      <c r="K35" s="32"/>
      <c r="L35" s="6">
        <f>(5961252*36.74371)/1000000</f>
        <v>219.03851472491999</v>
      </c>
      <c r="M35" s="6"/>
      <c r="N35" s="117"/>
      <c r="T35" s="100"/>
    </row>
    <row r="36" spans="1:20" ht="16.5" customHeight="1">
      <c r="A36" s="15" t="s">
        <v>44</v>
      </c>
      <c r="B36" s="86"/>
      <c r="C36" s="86"/>
      <c r="D36" s="86"/>
      <c r="E36" s="33"/>
      <c r="F36" s="33"/>
      <c r="G36" s="6">
        <f>(24300.7*36.74371)/1000000</f>
        <v>0.89289787359700001</v>
      </c>
      <c r="H36" s="13"/>
      <c r="I36" s="86"/>
      <c r="J36" s="6">
        <f>((5817974*0.907185)*36.74371)/1000000</f>
        <v>193.93252032593784</v>
      </c>
      <c r="K36" s="32"/>
      <c r="L36" s="6">
        <f>(5263949.5*36.74371)/1000000</f>
        <v>193.417033882645</v>
      </c>
      <c r="M36" s="6"/>
      <c r="N36" s="117"/>
      <c r="T36" s="100"/>
    </row>
    <row r="37" spans="1:20" ht="16.5" customHeight="1">
      <c r="A37" s="15" t="s">
        <v>45</v>
      </c>
      <c r="B37" s="86"/>
      <c r="C37" s="86"/>
      <c r="D37" s="86"/>
      <c r="E37" s="33">
        <f>N33</f>
        <v>3000.7190000000001</v>
      </c>
      <c r="F37" s="33"/>
      <c r="G37" s="6">
        <f>SUM(G34:G36)</f>
        <v>2.5278496681280003</v>
      </c>
      <c r="H37" s="13">
        <f>SUM(E37:G37)</f>
        <v>3003.2468496681281</v>
      </c>
      <c r="I37" s="86"/>
      <c r="J37" s="6">
        <f>SUM(J34:J36)</f>
        <v>593.04946409110744</v>
      </c>
      <c r="K37" s="32">
        <f>M37-L37-J37</f>
        <v>-24.605891198210202</v>
      </c>
      <c r="L37" s="6">
        <f>SUM(L34:L36)</f>
        <v>589.72427677523092</v>
      </c>
      <c r="M37" s="6">
        <f>H37-N37</f>
        <v>1158.1678496681282</v>
      </c>
      <c r="N37" s="117">
        <v>1845.079</v>
      </c>
      <c r="T37" s="100"/>
    </row>
    <row r="38" spans="1:20" ht="16.5" customHeight="1">
      <c r="A38" s="15" t="s">
        <v>46</v>
      </c>
      <c r="B38" s="86"/>
      <c r="C38" s="86"/>
      <c r="D38" s="86"/>
      <c r="E38" s="33"/>
      <c r="F38" s="33"/>
      <c r="G38" s="6">
        <f>(144280.7*36.74371)/1000000</f>
        <v>5.3014081993970006</v>
      </c>
      <c r="H38" s="13"/>
      <c r="I38" s="86"/>
      <c r="J38" s="6">
        <f>((6111759*0.907185)*36.74371)/1000000</f>
        <v>203.72535636885513</v>
      </c>
      <c r="K38" s="32"/>
      <c r="L38" s="6">
        <f>(3054246.9*36.74371)/1000000</f>
        <v>112.22436236199898</v>
      </c>
      <c r="M38" s="6"/>
      <c r="N38" s="117"/>
      <c r="T38" s="100"/>
    </row>
    <row r="39" spans="1:20" ht="16.5" customHeight="1">
      <c r="A39" s="15" t="s">
        <v>47</v>
      </c>
      <c r="B39" s="86"/>
      <c r="C39" s="86"/>
      <c r="D39" s="86"/>
      <c r="E39" s="33"/>
      <c r="F39" s="33"/>
      <c r="G39" s="6">
        <f>(57199.7*36.74371)/1000000</f>
        <v>2.101729188887</v>
      </c>
      <c r="H39" s="13"/>
      <c r="I39" s="86"/>
      <c r="J39" s="6">
        <f>((5332051*0.907185)*36.74371)/1000000</f>
        <v>177.73508251092858</v>
      </c>
      <c r="K39" s="32"/>
      <c r="L39" s="6">
        <f>(1769751.6*36.74371)/1000000</f>
        <v>65.027239562436009</v>
      </c>
      <c r="M39" s="6"/>
      <c r="N39" s="117"/>
      <c r="T39" s="100"/>
    </row>
    <row r="40" spans="1:20" ht="16.5" customHeight="1">
      <c r="A40" s="82" t="s">
        <v>55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83"/>
      <c r="M40" s="72"/>
      <c r="N40" s="72"/>
      <c r="T40" s="100"/>
    </row>
    <row r="41" spans="1:20" ht="16.5" customHeight="1">
      <c r="A41" s="15" t="s">
        <v>56</v>
      </c>
      <c r="B41" s="15"/>
      <c r="C41" s="15"/>
      <c r="D41" s="15"/>
      <c r="E41" s="36"/>
      <c r="F41" s="36"/>
      <c r="G41" s="36"/>
      <c r="H41" s="36"/>
      <c r="I41" s="36"/>
      <c r="J41" s="36"/>
      <c r="K41" s="36"/>
      <c r="L41" s="36"/>
      <c r="M41" s="36"/>
      <c r="N41" s="36"/>
      <c r="T41" s="100"/>
    </row>
    <row r="42" spans="1:20" ht="16.5" customHeight="1">
      <c r="A42" s="20" t="s">
        <v>57</v>
      </c>
      <c r="B42" s="37">
        <f>Contents!A16</f>
        <v>45457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T42" s="100"/>
    </row>
    <row r="43" spans="1:20" ht="16.5" customHeight="1">
      <c r="T43" s="100"/>
    </row>
    <row r="44" spans="1:20" ht="16.5" customHeight="1">
      <c r="K44" s="35"/>
      <c r="T44" s="100"/>
    </row>
    <row r="45" spans="1:20" ht="16.5" customHeight="1">
      <c r="K45" s="96"/>
      <c r="P45" s="35"/>
      <c r="T45" s="100"/>
    </row>
    <row r="46" spans="1:20" ht="16.5" customHeight="1">
      <c r="T46" s="100"/>
    </row>
    <row r="47" spans="1:20" ht="16.5" customHeight="1">
      <c r="J47" s="35"/>
      <c r="L47" s="35"/>
      <c r="T47" s="100"/>
    </row>
    <row r="48" spans="1:20" ht="16.5" customHeight="1">
      <c r="J48" s="35"/>
      <c r="L48" s="35"/>
      <c r="T48" s="100"/>
    </row>
    <row r="49" spans="10:73" ht="16.5" customHeight="1">
      <c r="J49" s="35"/>
      <c r="L49" s="35"/>
      <c r="T49" s="100"/>
    </row>
    <row r="50" spans="10:73" ht="16.5" customHeight="1">
      <c r="T50" s="100"/>
    </row>
    <row r="51" spans="10:73" ht="16.5" customHeight="1">
      <c r="T51" s="100"/>
    </row>
    <row r="52" spans="10:73" ht="16.5" customHeight="1">
      <c r="T52" s="100"/>
    </row>
    <row r="53" spans="10:73" ht="16.5" customHeight="1">
      <c r="T53" s="100"/>
    </row>
    <row r="54" spans="10:73" ht="16.5" customHeight="1"/>
    <row r="55" spans="10:73" ht="16.5" customHeight="1"/>
    <row r="56" spans="10:73" ht="16.5" customHeight="1"/>
    <row r="57" spans="10:73" ht="16.5" customHeight="1"/>
    <row r="58" spans="10:73" ht="16.5" customHeight="1">
      <c r="O58" s="86"/>
      <c r="P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</row>
    <row r="59" spans="10:73">
      <c r="O59" s="86"/>
      <c r="P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0:73">
      <c r="O60" s="86"/>
      <c r="P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0:73">
      <c r="O61" s="86"/>
      <c r="P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</row>
    <row r="62" spans="10:73">
      <c r="O62" s="86"/>
      <c r="P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</row>
    <row r="63" spans="10:73">
      <c r="O63" s="86"/>
      <c r="P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</row>
    <row r="64" spans="10:73">
      <c r="O64" s="86"/>
      <c r="P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</row>
    <row r="65" spans="15:73">
      <c r="O65" s="86"/>
      <c r="P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</row>
    <row r="66" spans="15:73">
      <c r="O66" s="86"/>
      <c r="P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</row>
    <row r="67" spans="15:73">
      <c r="O67" s="86"/>
      <c r="P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</row>
    <row r="68" spans="15:73">
      <c r="O68" s="86"/>
      <c r="P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</row>
    <row r="69" spans="15:73">
      <c r="O69" s="86"/>
      <c r="P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</row>
    <row r="70" spans="15:73">
      <c r="O70" s="86"/>
      <c r="P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</row>
    <row r="71" spans="15:73">
      <c r="O71" s="86"/>
      <c r="P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</row>
    <row r="72" spans="15:73">
      <c r="O72" s="86"/>
      <c r="P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</row>
    <row r="73" spans="15:73">
      <c r="O73" s="86"/>
      <c r="P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</row>
    <row r="74" spans="15:73">
      <c r="O74" s="86"/>
      <c r="P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</row>
    <row r="75" spans="15:73">
      <c r="O75" s="86"/>
      <c r="P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</row>
    <row r="76" spans="15:73">
      <c r="O76" s="86"/>
      <c r="P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</row>
    <row r="77" spans="15:73">
      <c r="O77" s="86"/>
      <c r="P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</row>
    <row r="78" spans="15:73">
      <c r="O78" s="86"/>
      <c r="P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</row>
    <row r="79" spans="15:73">
      <c r="O79" s="86"/>
      <c r="P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</row>
    <row r="80" spans="15:73">
      <c r="O80" s="86"/>
      <c r="P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</row>
    <row r="81" spans="15:73">
      <c r="O81" s="86"/>
      <c r="P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</row>
    <row r="82" spans="15:73">
      <c r="O82" s="86"/>
      <c r="P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</row>
    <row r="83" spans="15:73">
      <c r="O83" s="86"/>
      <c r="P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</row>
    <row r="84" spans="15:73">
      <c r="O84" s="86"/>
      <c r="P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</row>
    <row r="85" spans="15:73">
      <c r="O85" s="86"/>
      <c r="P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</row>
    <row r="86" spans="15:73"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</row>
    <row r="87" spans="15:73"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</row>
    <row r="88" spans="15:73"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</row>
    <row r="89" spans="15:73"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</row>
    <row r="90" spans="15:73"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</row>
    <row r="91" spans="15:73"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</row>
    <row r="92" spans="15:73"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</row>
    <row r="93" spans="15:73"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</row>
    <row r="94" spans="15:73"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</row>
    <row r="95" spans="15:73"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</row>
    <row r="96" spans="15:73"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</row>
    <row r="97" spans="15:73"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</row>
    <row r="98" spans="15:73"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</row>
    <row r="99" spans="15:73"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</row>
    <row r="100" spans="15:73"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</row>
    <row r="101" spans="15:73"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</row>
    <row r="102" spans="15:73"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</row>
    <row r="103" spans="15:73"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</row>
    <row r="104" spans="15:73"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</row>
    <row r="105" spans="15:73"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</row>
    <row r="106" spans="15:73"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</row>
    <row r="107" spans="15:73"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</row>
    <row r="108" spans="15:73"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</row>
    <row r="109" spans="15:73"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</row>
    <row r="110" spans="15:73"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</row>
    <row r="111" spans="15:73"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</row>
    <row r="112" spans="15:73"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</row>
    <row r="113" spans="15:73"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</row>
    <row r="114" spans="15:73"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</row>
    <row r="115" spans="15:73"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</row>
    <row r="116" spans="15:73"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</row>
    <row r="117" spans="15:73"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</row>
    <row r="118" spans="15:73"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</row>
    <row r="119" spans="15:73"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</row>
    <row r="120" spans="15:73"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</row>
    <row r="121" spans="15:73"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</row>
    <row r="122" spans="15:73"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</row>
    <row r="123" spans="15:73"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</row>
    <row r="124" spans="15:73"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</row>
    <row r="125" spans="15:73"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5:73"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5:73"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5:73"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5:73"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5:73"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5:73"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5:73"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5:73"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5:73"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5:73"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5:73"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5:73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5:73"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5:73"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5:73"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5:73"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5:73"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5:73"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5:73"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5:73"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5:73"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</row>
    <row r="147" spans="15:73"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</row>
    <row r="148" spans="15:73"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</row>
    <row r="149" spans="15:73"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</row>
    <row r="150" spans="15:73"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</row>
    <row r="151" spans="15:73"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</row>
    <row r="152" spans="15:73"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</row>
    <row r="153" spans="15:73"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</row>
    <row r="154" spans="15:73"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</row>
    <row r="155" spans="15:73"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</row>
    <row r="156" spans="15:73"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</row>
    <row r="157" spans="15:73"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</row>
    <row r="158" spans="15:73"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</row>
    <row r="159" spans="15:73"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</row>
    <row r="160" spans="15:73"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</row>
    <row r="161" spans="15:73"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</row>
    <row r="162" spans="15:73"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</row>
    <row r="163" spans="15:73"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5:73"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5:73"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5:73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</row>
    <row r="167" spans="15:73"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</row>
    <row r="168" spans="15:73"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</row>
    <row r="169" spans="15:73"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</row>
    <row r="170" spans="15:73"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</row>
    <row r="171" spans="15:73"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</row>
    <row r="172" spans="15:73"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</row>
    <row r="173" spans="15:73"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</row>
    <row r="174" spans="15:73"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</row>
    <row r="175" spans="15:73"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</row>
    <row r="176" spans="15:73"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</row>
    <row r="177" spans="15:73"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</row>
    <row r="178" spans="15:73"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</row>
    <row r="179" spans="15:73"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</row>
    <row r="180" spans="15:73"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</row>
    <row r="181" spans="15:73"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</row>
    <row r="182" spans="15:73"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</row>
    <row r="183" spans="15:73"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</row>
    <row r="184" spans="15:73"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</row>
    <row r="185" spans="15:73"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</row>
    <row r="186" spans="15:73"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</row>
    <row r="187" spans="15:73"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</row>
    <row r="188" spans="15:73"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</row>
    <row r="189" spans="15:73"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</row>
    <row r="190" spans="15:73"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</row>
    <row r="191" spans="15:73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</row>
    <row r="192" spans="15:73"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</row>
    <row r="193" spans="15:73"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</row>
    <row r="194" spans="15:73"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</row>
    <row r="195" spans="15:73"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</row>
    <row r="196" spans="15:73"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</row>
    <row r="197" spans="15:73"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</row>
    <row r="198" spans="15:73"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</row>
    <row r="199" spans="15:73"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</row>
    <row r="200" spans="15:73"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</row>
    <row r="201" spans="15:73"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</row>
    <row r="202" spans="15:73"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</row>
    <row r="203" spans="15:73"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</row>
    <row r="204" spans="15:73"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</row>
    <row r="205" spans="15:73"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</row>
    <row r="206" spans="15:73"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</row>
    <row r="207" spans="15:73"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</row>
    <row r="208" spans="15:73"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</row>
    <row r="209" spans="15:73"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</row>
    <row r="210" spans="15:73"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</row>
    <row r="211" spans="15:73"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</row>
    <row r="212" spans="15:73"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</row>
    <row r="213" spans="15:73"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</row>
    <row r="214" spans="15:73"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</row>
    <row r="215" spans="15:73"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</row>
    <row r="216" spans="15:73"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</row>
    <row r="217" spans="15:73"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</row>
    <row r="218" spans="15:73"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</row>
    <row r="219" spans="15:73"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</row>
    <row r="220" spans="15:73"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</row>
    <row r="221" spans="15:73"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</row>
    <row r="222" spans="15:73"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</row>
    <row r="223" spans="15:73"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</row>
    <row r="224" spans="15:73"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</row>
    <row r="225" spans="15:73"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</row>
    <row r="226" spans="15:73"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</row>
    <row r="227" spans="15:73"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</row>
    <row r="228" spans="15:73"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</row>
    <row r="229" spans="15:73"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</row>
    <row r="230" spans="15:73"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</row>
    <row r="231" spans="15:73"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</row>
    <row r="232" spans="15:73"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</row>
    <row r="233" spans="15:73"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</row>
    <row r="234" spans="15:73"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</row>
    <row r="235" spans="15:73"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</row>
    <row r="236" spans="15:73"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</row>
    <row r="237" spans="15:73"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</row>
    <row r="238" spans="15:73"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</row>
    <row r="239" spans="15:73"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</row>
    <row r="240" spans="15:73"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</row>
    <row r="241" spans="15:73"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</row>
    <row r="242" spans="15:73"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</row>
    <row r="243" spans="15:73"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</row>
    <row r="244" spans="15:73"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</row>
    <row r="245" spans="15:73"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</row>
    <row r="246" spans="15:73"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</row>
    <row r="247" spans="15:73"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</row>
    <row r="248" spans="15:73"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</row>
    <row r="249" spans="15:73"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</row>
    <row r="250" spans="15:73"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</row>
    <row r="251" spans="15:73"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</row>
    <row r="252" spans="15:73"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</row>
    <row r="253" spans="15:73"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</row>
    <row r="254" spans="15:73"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</row>
    <row r="255" spans="15:73"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</row>
    <row r="256" spans="15:73"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</row>
    <row r="257" spans="15:73"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</row>
    <row r="258" spans="15:73"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</row>
    <row r="259" spans="15:73"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</row>
    <row r="260" spans="15:73"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</row>
    <row r="261" spans="15:73"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</row>
    <row r="262" spans="15:73"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</row>
    <row r="263" spans="15:73"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</row>
    <row r="264" spans="15:73"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</row>
    <row r="265" spans="15:73"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</row>
    <row r="266" spans="15:73"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</row>
    <row r="267" spans="15:73"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</row>
    <row r="268" spans="15:73"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</row>
    <row r="269" spans="15:73"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</row>
    <row r="270" spans="15:73"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</row>
    <row r="271" spans="15:73"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</row>
    <row r="272" spans="15:73"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</row>
    <row r="273" spans="15:73"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</row>
    <row r="274" spans="15:73"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</row>
    <row r="275" spans="15:73"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</row>
    <row r="276" spans="15:73"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</row>
    <row r="277" spans="15:73"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</row>
    <row r="278" spans="15:73"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</row>
    <row r="279" spans="15:73"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</row>
    <row r="280" spans="15:73"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</row>
    <row r="281" spans="15:73"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</row>
    <row r="282" spans="15:73"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</row>
    <row r="283" spans="15:73"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</row>
    <row r="284" spans="15:73"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</row>
    <row r="285" spans="15:73"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</row>
    <row r="286" spans="15:73"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</row>
    <row r="287" spans="15:73"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</row>
    <row r="288" spans="15:73"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</row>
    <row r="289" spans="15:73"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</row>
    <row r="290" spans="15:73"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</row>
    <row r="291" spans="15:73"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</row>
    <row r="292" spans="15:73"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</row>
    <row r="293" spans="15:73"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</row>
    <row r="294" spans="15:73"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</row>
    <row r="295" spans="15:73"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</row>
    <row r="296" spans="15:73"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</row>
    <row r="297" spans="15:73"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</row>
    <row r="298" spans="15:73"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</row>
    <row r="299" spans="15:73"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</row>
    <row r="300" spans="15:73"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</row>
    <row r="301" spans="15:73"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</row>
    <row r="302" spans="15:73"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</row>
    <row r="303" spans="15:73"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</row>
    <row r="304" spans="15:73"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</row>
    <row r="305" spans="15:73"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</row>
    <row r="306" spans="15:73"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</row>
    <row r="307" spans="15:73"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</row>
    <row r="308" spans="15:73"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</row>
    <row r="309" spans="15:73"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</row>
    <row r="310" spans="15:73"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</row>
    <row r="311" spans="15:73"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</row>
    <row r="312" spans="15:73"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</row>
    <row r="313" spans="15:73"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</row>
    <row r="314" spans="15:73"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</row>
    <row r="315" spans="15:73"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</row>
    <row r="316" spans="15:73"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</row>
    <row r="317" spans="15:73"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</row>
    <row r="318" spans="15:73"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</row>
    <row r="319" spans="15:73"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</row>
    <row r="320" spans="15:73"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</row>
    <row r="321" spans="15:73"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</row>
    <row r="322" spans="15:73"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</row>
    <row r="323" spans="15:73"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</row>
    <row r="324" spans="15:73"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</row>
    <row r="325" spans="15:73"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</row>
    <row r="326" spans="15:73"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</row>
    <row r="327" spans="15:73"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</row>
    <row r="328" spans="15:73"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</row>
    <row r="329" spans="15:73"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</row>
    <row r="330" spans="15:73"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</row>
    <row r="331" spans="15:73"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</row>
    <row r="332" spans="15:73"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</row>
    <row r="333" spans="15:73"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</row>
    <row r="334" spans="15:73"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</row>
    <row r="335" spans="15:73"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</row>
    <row r="336" spans="15:73"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</row>
    <row r="337" spans="15:73"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</row>
    <row r="338" spans="15:73"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</row>
    <row r="339" spans="15:73"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</row>
    <row r="340" spans="15:73"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</row>
    <row r="341" spans="15:73"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</row>
    <row r="342" spans="15:73"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</row>
    <row r="343" spans="15:73"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</row>
    <row r="344" spans="15:73"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</row>
    <row r="345" spans="15:73"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</row>
    <row r="346" spans="15:73"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</row>
    <row r="347" spans="15:73"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</row>
    <row r="348" spans="15:73"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</row>
    <row r="349" spans="15:73"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</row>
    <row r="350" spans="15:73"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</row>
    <row r="351" spans="15:73"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</row>
    <row r="352" spans="15:73"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</row>
    <row r="353" spans="15:73"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</row>
    <row r="354" spans="15:73"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</row>
    <row r="355" spans="15:73"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</row>
    <row r="356" spans="15:73"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</row>
    <row r="357" spans="15:73"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</row>
    <row r="358" spans="15:73"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</row>
    <row r="359" spans="15:73"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</row>
    <row r="360" spans="15:73"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</row>
    <row r="361" spans="15:73"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</row>
    <row r="362" spans="15:73"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</row>
    <row r="363" spans="15:73"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</row>
    <row r="364" spans="15:73"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</row>
    <row r="365" spans="15:73"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</row>
    <row r="366" spans="15:73"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</row>
    <row r="367" spans="15:73"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</row>
    <row r="368" spans="15:73"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</row>
    <row r="369" spans="15:73"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</row>
    <row r="370" spans="15:73"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</row>
    <row r="371" spans="15:73"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</row>
    <row r="372" spans="15:73"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</row>
    <row r="373" spans="15:73"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</row>
    <row r="374" spans="15:73"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</row>
    <row r="375" spans="15:73"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</row>
    <row r="376" spans="15:73"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</row>
    <row r="377" spans="15:73"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</row>
    <row r="378" spans="15:73"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</row>
    <row r="379" spans="15:73"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</row>
    <row r="380" spans="15:73"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</row>
    <row r="381" spans="15:73"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</row>
    <row r="382" spans="15:73"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</row>
    <row r="383" spans="15:73"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</row>
    <row r="384" spans="15:73"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</row>
    <row r="385" spans="15:73"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</row>
    <row r="386" spans="15:73"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</row>
    <row r="387" spans="15:73"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</row>
    <row r="388" spans="15:73"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</row>
    <row r="389" spans="15:73"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</row>
    <row r="390" spans="15:73"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</row>
    <row r="391" spans="15:73"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</row>
    <row r="392" spans="15:73"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</row>
    <row r="393" spans="15:73"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</row>
    <row r="394" spans="15:73"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</row>
    <row r="395" spans="15:73"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</row>
    <row r="396" spans="15:73"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</row>
    <row r="397" spans="15:73"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</row>
    <row r="398" spans="15:73"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</row>
    <row r="399" spans="15:73"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</row>
    <row r="400" spans="15:73"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</row>
    <row r="401" spans="15:73"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</row>
    <row r="402" spans="15:73"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</row>
    <row r="403" spans="15:73"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</row>
    <row r="404" spans="15:73"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</row>
    <row r="405" spans="15:73"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</row>
    <row r="406" spans="15:73"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</row>
    <row r="407" spans="15:73"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</row>
    <row r="408" spans="15:73"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</row>
    <row r="409" spans="15:73"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</row>
    <row r="410" spans="15:73"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</row>
    <row r="411" spans="15:73"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</row>
    <row r="412" spans="15:73"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</row>
    <row r="413" spans="15:73"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</row>
    <row r="414" spans="15:73"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</row>
    <row r="415" spans="15:73"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</row>
    <row r="416" spans="15:73"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</row>
    <row r="417" spans="15:73"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</row>
    <row r="418" spans="15:73"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</row>
    <row r="419" spans="15:73"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</row>
    <row r="420" spans="15:73"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</row>
    <row r="421" spans="15:73"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</row>
    <row r="422" spans="15:73"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</row>
    <row r="423" spans="15:73"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</row>
    <row r="424" spans="15:73"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</row>
    <row r="425" spans="15:73"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</row>
    <row r="426" spans="15:73"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</row>
    <row r="427" spans="15:73"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</row>
    <row r="428" spans="15:73"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</row>
    <row r="429" spans="15:73"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</row>
    <row r="430" spans="15:73"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</row>
    <row r="431" spans="15:73"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</row>
    <row r="432" spans="15:73"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</row>
    <row r="433" spans="15:73"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</row>
    <row r="434" spans="15:73"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</row>
    <row r="435" spans="15:73"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</row>
    <row r="436" spans="15:73"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</row>
    <row r="437" spans="15:73"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</row>
    <row r="438" spans="15:73"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</row>
    <row r="439" spans="15:73"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</row>
    <row r="440" spans="15:73"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</row>
    <row r="441" spans="15:73"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</row>
    <row r="442" spans="15:73"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</row>
    <row r="443" spans="15:73"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</row>
    <row r="444" spans="15:73"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</row>
    <row r="445" spans="15:73"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</row>
    <row r="446" spans="15:73"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</row>
    <row r="447" spans="15:73"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</row>
    <row r="448" spans="15:73"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</row>
    <row r="449" spans="15:73"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</row>
    <row r="450" spans="15:73"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</row>
    <row r="451" spans="15:73"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</row>
    <row r="452" spans="15:73"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</row>
    <row r="453" spans="15:73"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</row>
    <row r="454" spans="15:73"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</row>
    <row r="455" spans="15:73"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</row>
    <row r="456" spans="15:73"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</row>
    <row r="457" spans="15:73"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</row>
    <row r="458" spans="15:73"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</row>
    <row r="459" spans="15:73"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</row>
    <row r="460" spans="15:73"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</row>
    <row r="461" spans="15:73"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</row>
    <row r="462" spans="15:73"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</row>
    <row r="463" spans="15:73"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</row>
    <row r="464" spans="15:73"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</row>
    <row r="465" spans="15:73"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</row>
    <row r="466" spans="15:73"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</row>
    <row r="467" spans="15:73"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</row>
    <row r="468" spans="15:73"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</row>
    <row r="469" spans="15:73"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</row>
    <row r="470" spans="15:73"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</row>
    <row r="471" spans="15:73"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</row>
    <row r="472" spans="15:73"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</row>
    <row r="473" spans="15:73"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</row>
    <row r="474" spans="15:73"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</row>
    <row r="475" spans="15:73"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</row>
    <row r="476" spans="15:73"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</row>
    <row r="477" spans="15:73"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</row>
    <row r="478" spans="15:73"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</row>
    <row r="479" spans="15:73"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</row>
    <row r="480" spans="15:73"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</row>
    <row r="481" spans="15:73"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</row>
    <row r="482" spans="15:73"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</row>
    <row r="483" spans="15:73"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</row>
    <row r="484" spans="15:73"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</row>
    <row r="485" spans="15:73"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</row>
    <row r="486" spans="15:73"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</row>
    <row r="487" spans="15:73"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</row>
    <row r="488" spans="15:73"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</row>
    <row r="489" spans="15:73"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</row>
    <row r="490" spans="15:73"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</row>
    <row r="491" spans="15:73"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</row>
    <row r="492" spans="15:73"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</row>
    <row r="493" spans="15:73"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</row>
    <row r="494" spans="15:73"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</row>
    <row r="495" spans="15:73"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</row>
    <row r="496" spans="15:73"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</row>
    <row r="497" spans="15:73"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</row>
    <row r="498" spans="15:73"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</row>
    <row r="499" spans="15:73"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</row>
    <row r="500" spans="15:73"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</row>
    <row r="501" spans="15:73"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</row>
    <row r="502" spans="15:73"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</row>
    <row r="503" spans="15:73"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</row>
    <row r="504" spans="15:73"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</row>
    <row r="505" spans="15:73"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</row>
    <row r="506" spans="15:73"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</row>
    <row r="507" spans="15:73"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</row>
    <row r="508" spans="15:73"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</row>
    <row r="509" spans="15:73"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</row>
    <row r="510" spans="15:73"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</row>
    <row r="511" spans="15:73"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</row>
    <row r="512" spans="15:73"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</row>
    <row r="513" spans="15:73"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</row>
    <row r="514" spans="15:73"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</row>
    <row r="515" spans="15:73"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</row>
    <row r="516" spans="15:73"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</row>
    <row r="517" spans="15:73"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</row>
    <row r="518" spans="15:73"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</row>
    <row r="519" spans="15:73"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</row>
    <row r="520" spans="15:73"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</row>
    <row r="521" spans="15:73"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</row>
    <row r="522" spans="15:73"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</row>
    <row r="523" spans="15:73"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</row>
    <row r="524" spans="15:73"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</row>
    <row r="525" spans="15:73"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</row>
    <row r="526" spans="15:73"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</row>
    <row r="527" spans="15:73"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</row>
    <row r="528" spans="15:73"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</row>
    <row r="529" spans="15:73"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</row>
    <row r="530" spans="15:73"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</row>
    <row r="531" spans="15:73"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</row>
    <row r="532" spans="15:73"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</row>
    <row r="533" spans="15:73"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</row>
    <row r="534" spans="15:73"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</row>
    <row r="535" spans="15:73"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</row>
    <row r="536" spans="15:73"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</row>
    <row r="537" spans="15:73"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</row>
    <row r="538" spans="15:73"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</row>
    <row r="539" spans="15:73"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</row>
    <row r="540" spans="15:73"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</row>
    <row r="541" spans="15:73"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</row>
    <row r="542" spans="15:73"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</row>
    <row r="543" spans="15:73"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</row>
    <row r="544" spans="15:73"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</row>
    <row r="545" spans="15:73"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</row>
    <row r="546" spans="15:73"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</row>
    <row r="547" spans="15:73"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</row>
    <row r="548" spans="15:73"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</row>
    <row r="549" spans="15:73"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</row>
    <row r="550" spans="15:73"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</row>
    <row r="551" spans="15:73"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</row>
    <row r="552" spans="15:73"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</row>
    <row r="553" spans="15:73"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</row>
    <row r="554" spans="15:73"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</row>
    <row r="555" spans="15:73"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</row>
  </sheetData>
  <dataConsolidate link="1"/>
  <phoneticPr fontId="45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zoomScale="85" zoomScaleNormal="85" workbookViewId="0"/>
  </sheetViews>
  <sheetFormatPr defaultColWidth="9.109375" defaultRowHeight="13.2"/>
  <cols>
    <col min="1" max="1" width="16" customWidth="1"/>
    <col min="2" max="2" width="12.44140625" bestFit="1" customWidth="1"/>
    <col min="3" max="3" width="13.44140625" bestFit="1" customWidth="1"/>
    <col min="4" max="4" width="11.109375" bestFit="1" customWidth="1"/>
    <col min="5" max="5" width="13.44140625" bestFit="1" customWidth="1"/>
    <col min="6" max="6" width="1.5546875" customWidth="1"/>
    <col min="7" max="7" width="14.44140625" bestFit="1" customWidth="1"/>
    <col min="8" max="9" width="13.44140625" bestFit="1" customWidth="1"/>
    <col min="10" max="10" width="10.5546875" customWidth="1"/>
    <col min="11" max="11" width="13.5546875" customWidth="1"/>
    <col min="12" max="12" width="11.554687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83" t="s">
        <v>58</v>
      </c>
      <c r="C2" s="183"/>
      <c r="D2" s="183"/>
      <c r="E2" s="183"/>
      <c r="F2" s="15"/>
      <c r="G2" s="183" t="s">
        <v>59</v>
      </c>
      <c r="H2" s="183"/>
      <c r="I2" s="183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4">
      <c r="A5" s="15"/>
      <c r="B5" s="184" t="s">
        <v>67</v>
      </c>
      <c r="C5" s="184"/>
      <c r="D5" s="184"/>
      <c r="E5" s="184"/>
      <c r="F5" s="184"/>
      <c r="G5" s="184"/>
      <c r="H5" s="184"/>
      <c r="I5" s="184"/>
      <c r="J5" s="184"/>
    </row>
    <row r="6" spans="1:12" ht="13.8">
      <c r="A6" s="15" t="s">
        <v>37</v>
      </c>
      <c r="B6" s="38">
        <v>310.92700000000002</v>
      </c>
      <c r="C6" s="39">
        <f>C23</f>
        <v>52493.097999999998</v>
      </c>
      <c r="D6" s="39">
        <f>D23</f>
        <v>632.09806422399993</v>
      </c>
      <c r="E6" s="28">
        <f>SUM(B6:D6)</f>
        <v>53436.123064224004</v>
      </c>
      <c r="F6" s="39"/>
      <c r="G6" s="39">
        <f>E6-H6-J6</f>
        <v>38401.723957986855</v>
      </c>
      <c r="H6" s="39">
        <f>H23</f>
        <v>14663.508106237146</v>
      </c>
      <c r="I6" s="39">
        <f>E6-J6</f>
        <v>53065.232064224001</v>
      </c>
      <c r="J6" s="39">
        <f>J22</f>
        <v>370.89100000000002</v>
      </c>
    </row>
    <row r="7" spans="1:12" ht="16.2">
      <c r="A7" s="15" t="s">
        <v>155</v>
      </c>
      <c r="B7" s="38">
        <f>J6</f>
        <v>370.89100000000002</v>
      </c>
      <c r="C7" s="39">
        <v>54004.108999999997</v>
      </c>
      <c r="D7" s="39">
        <v>650</v>
      </c>
      <c r="E7" s="28">
        <f>SUM(B7:D7)</f>
        <v>55025</v>
      </c>
      <c r="F7" s="39"/>
      <c r="G7" s="39">
        <v>38625</v>
      </c>
      <c r="H7" s="39">
        <v>16000</v>
      </c>
      <c r="I7" s="39">
        <f>SUM(G7:H7)</f>
        <v>54625</v>
      </c>
      <c r="J7" s="39">
        <f>E7-I7</f>
        <v>400</v>
      </c>
      <c r="K7" s="174"/>
      <c r="L7" s="175"/>
    </row>
    <row r="8" spans="1:12" ht="16.2">
      <c r="A8" s="15" t="s">
        <v>156</v>
      </c>
      <c r="B8" s="38">
        <f>J7</f>
        <v>400</v>
      </c>
      <c r="C8" s="39">
        <v>57075</v>
      </c>
      <c r="D8" s="39">
        <v>600</v>
      </c>
      <c r="E8" s="28">
        <f>SUM(B8:D8)</f>
        <v>58075</v>
      </c>
      <c r="F8" s="39"/>
      <c r="G8" s="39">
        <v>40125</v>
      </c>
      <c r="H8" s="39">
        <v>17500</v>
      </c>
      <c r="I8" s="39">
        <f>SUM(G8:H8)</f>
        <v>57625</v>
      </c>
      <c r="J8" s="39">
        <f>E8-I8</f>
        <v>450</v>
      </c>
      <c r="L8" s="176"/>
    </row>
    <row r="9" spans="1:12" ht="13.8">
      <c r="A9" s="15"/>
      <c r="B9" s="40"/>
      <c r="C9" s="40"/>
      <c r="D9" s="40"/>
      <c r="E9" s="40"/>
      <c r="F9" s="40"/>
      <c r="G9" s="39"/>
      <c r="H9" s="40"/>
      <c r="I9" s="40"/>
      <c r="J9" s="40"/>
    </row>
    <row r="10" spans="1:12" ht="13.8">
      <c r="A10" s="31" t="s">
        <v>37</v>
      </c>
      <c r="B10" s="41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39</v>
      </c>
      <c r="B11" s="41">
        <f>J6</f>
        <v>370.89100000000002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5032.1688571759996</v>
      </c>
      <c r="F11" s="6"/>
      <c r="G11" s="6">
        <f>I11-H11</f>
        <v>3699.8904505289997</v>
      </c>
      <c r="H11" s="6">
        <f>(865513.7*1.10231)/1000</f>
        <v>954.06440664699983</v>
      </c>
      <c r="I11" s="5">
        <f>E11-J11</f>
        <v>4653.9548571759997</v>
      </c>
      <c r="J11" s="6">
        <v>378.214</v>
      </c>
      <c r="K11" s="87"/>
      <c r="L11" s="89"/>
    </row>
    <row r="12" spans="1:12" ht="14.4">
      <c r="A12" s="15" t="s">
        <v>40</v>
      </c>
      <c r="B12" s="41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3367.700833154001</v>
      </c>
      <c r="H12" s="6">
        <f>(1079708.1*1.10231)/1000</f>
        <v>1190.173035711</v>
      </c>
      <c r="I12" s="5">
        <f t="shared" ref="I12:I22" si="3">E12-J12</f>
        <v>4557.873868865001</v>
      </c>
      <c r="J12" s="6">
        <v>349.10500000000002</v>
      </c>
      <c r="K12" s="87"/>
      <c r="L12" s="89"/>
    </row>
    <row r="13" spans="1:12" ht="14.4">
      <c r="A13" s="15" t="s">
        <v>42</v>
      </c>
      <c r="B13" s="41">
        <f t="shared" si="1"/>
        <v>349.10500000000002</v>
      </c>
      <c r="C13" s="6">
        <v>4437.4089999999997</v>
      </c>
      <c r="D13" s="6">
        <f>(32194.3*1.10231)/1000</f>
        <v>35.488098832999995</v>
      </c>
      <c r="E13" s="6">
        <f t="shared" si="0"/>
        <v>4822.0020988329989</v>
      </c>
      <c r="F13" s="6"/>
      <c r="G13" s="6">
        <f t="shared" si="2"/>
        <v>3173.9462998459985</v>
      </c>
      <c r="H13" s="6">
        <f>(1081527.7*1.10231)/1000</f>
        <v>1192.1787989869997</v>
      </c>
      <c r="I13" s="5">
        <f t="shared" si="3"/>
        <v>4366.1250988329984</v>
      </c>
      <c r="J13" s="6">
        <v>455.87700000000001</v>
      </c>
      <c r="K13" s="87"/>
      <c r="L13" s="89"/>
    </row>
    <row r="14" spans="1:12" ht="14.4">
      <c r="A14" s="15" t="s">
        <v>43</v>
      </c>
      <c r="B14" s="41">
        <f t="shared" si="1"/>
        <v>455.87700000000001</v>
      </c>
      <c r="C14" s="6">
        <v>4540.9090000000006</v>
      </c>
      <c r="D14" s="6">
        <f>(87357.8*1.10231)/1000</f>
        <v>96.295376517999983</v>
      </c>
      <c r="E14" s="6">
        <f t="shared" si="0"/>
        <v>5093.081376518001</v>
      </c>
      <c r="F14" s="6"/>
      <c r="G14" s="6">
        <f t="shared" si="2"/>
        <v>3101.8863894670012</v>
      </c>
      <c r="H14" s="6">
        <f>(1404622.1*1.10231)/1000</f>
        <v>1548.3289870509998</v>
      </c>
      <c r="I14" s="5">
        <f t="shared" si="3"/>
        <v>4650.215376518001</v>
      </c>
      <c r="J14" s="6">
        <v>442.86599999999999</v>
      </c>
      <c r="K14" s="87"/>
      <c r="L14" s="89"/>
    </row>
    <row r="15" spans="1:12" ht="14.4">
      <c r="A15" s="15" t="s">
        <v>44</v>
      </c>
      <c r="B15" s="41">
        <f t="shared" si="1"/>
        <v>442.86599999999999</v>
      </c>
      <c r="C15" s="6">
        <v>4197.5839999999998</v>
      </c>
      <c r="D15" s="6">
        <f>(40187.2*1.10231)/1000</f>
        <v>44.298752431999993</v>
      </c>
      <c r="E15" s="6">
        <f t="shared" si="0"/>
        <v>4684.7487524319995</v>
      </c>
      <c r="F15" s="6"/>
      <c r="G15" s="6">
        <f t="shared" si="2"/>
        <v>3189.261751647</v>
      </c>
      <c r="H15" s="6">
        <f>(925173.5*1.10231)/1000</f>
        <v>1019.828000785</v>
      </c>
      <c r="I15" s="5">
        <f t="shared" si="3"/>
        <v>4209.0897524319998</v>
      </c>
      <c r="J15" s="6">
        <v>475.65899999999999</v>
      </c>
      <c r="K15" s="87"/>
      <c r="L15" s="89"/>
    </row>
    <row r="16" spans="1:12" ht="14.4">
      <c r="A16" s="15" t="s">
        <v>46</v>
      </c>
      <c r="B16" s="41">
        <f t="shared" si="1"/>
        <v>475.65899999999999</v>
      </c>
      <c r="C16" s="6">
        <v>4698.1610000000001</v>
      </c>
      <c r="D16" s="6">
        <f>(43410.1*1.10231)/1000</f>
        <v>47.851387330999991</v>
      </c>
      <c r="E16" s="6">
        <f t="shared" si="0"/>
        <v>5221.671387331</v>
      </c>
      <c r="F16" s="6"/>
      <c r="G16" s="6">
        <f t="shared" si="2"/>
        <v>3369.7769356149997</v>
      </c>
      <c r="H16" s="6">
        <f>(1336143.6*1.10231)/1000</f>
        <v>1472.8444517160001</v>
      </c>
      <c r="I16" s="5">
        <f t="shared" si="3"/>
        <v>4842.6213873309998</v>
      </c>
      <c r="J16" s="6">
        <v>379.04999999999995</v>
      </c>
      <c r="K16" s="87"/>
      <c r="L16" s="89"/>
    </row>
    <row r="17" spans="1:13" ht="14.4">
      <c r="A17" s="15" t="s">
        <v>47</v>
      </c>
      <c r="B17" s="41">
        <f t="shared" si="1"/>
        <v>379.04999999999995</v>
      </c>
      <c r="C17" s="6">
        <v>4433.6350000000002</v>
      </c>
      <c r="D17" s="6">
        <f>(25951.8*1.10231)/1000</f>
        <v>28.606928657999998</v>
      </c>
      <c r="E17" s="6">
        <f t="shared" si="0"/>
        <v>4841.291928658</v>
      </c>
      <c r="F17" s="6"/>
      <c r="G17" s="6">
        <f t="shared" si="2"/>
        <v>3019.334526696</v>
      </c>
      <c r="H17" s="6">
        <f>(1128650.2*1.10231)/1000</f>
        <v>1244.1224019619999</v>
      </c>
      <c r="I17" s="5">
        <f t="shared" si="3"/>
        <v>4263.4569286579999</v>
      </c>
      <c r="J17" s="6">
        <v>577.83499999999992</v>
      </c>
      <c r="K17" s="87"/>
      <c r="L17" s="89"/>
    </row>
    <row r="18" spans="1:13" ht="14.4">
      <c r="A18" s="15" t="s">
        <v>48</v>
      </c>
      <c r="B18" s="41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0"/>
        <v>5094.2713006490003</v>
      </c>
      <c r="F18" s="6"/>
      <c r="G18" s="6">
        <f t="shared" si="2"/>
        <v>3474.6210888970008</v>
      </c>
      <c r="H18" s="6">
        <f>(1080559.2*1.10231)/1000</f>
        <v>1191.1112117519997</v>
      </c>
      <c r="I18" s="5">
        <f t="shared" si="3"/>
        <v>4665.7323006490005</v>
      </c>
      <c r="J18" s="6">
        <v>428.53899999999999</v>
      </c>
      <c r="K18" s="87"/>
      <c r="L18" s="89"/>
    </row>
    <row r="19" spans="1:13" ht="14.4">
      <c r="A19" s="15" t="s">
        <v>50</v>
      </c>
      <c r="B19" s="41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0"/>
        <v>4632.8251534669998</v>
      </c>
      <c r="F19" s="6"/>
      <c r="G19" s="6">
        <f t="shared" si="2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7"/>
    </row>
    <row r="20" spans="1:13" ht="14.4">
      <c r="A20" s="15" t="s">
        <v>51</v>
      </c>
      <c r="B20" s="41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0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3"/>
        <v>4308.5391473620011</v>
      </c>
      <c r="J20" s="6">
        <v>469.548</v>
      </c>
      <c r="K20" s="87"/>
    </row>
    <row r="21" spans="1:13" ht="14.4">
      <c r="A21" s="15" t="s">
        <v>52</v>
      </c>
      <c r="B21" s="41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0"/>
        <v>4553.8776895809997</v>
      </c>
      <c r="F21" s="6"/>
      <c r="G21" s="6">
        <f t="shared" ref="G21:G22" si="4">I21-H21</f>
        <v>3059.2082030979991</v>
      </c>
      <c r="H21" s="6">
        <f>(1068509.3*1.10231)/1000</f>
        <v>1177.828486483</v>
      </c>
      <c r="I21" s="5">
        <f t="shared" si="3"/>
        <v>4237.0366895809993</v>
      </c>
      <c r="J21" s="6">
        <v>316.84100000000001</v>
      </c>
      <c r="K21" s="87"/>
    </row>
    <row r="22" spans="1:13" ht="14.4">
      <c r="A22" s="15" t="s">
        <v>38</v>
      </c>
      <c r="B22" s="41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3013.3502875580007</v>
      </c>
      <c r="H22" s="6">
        <f>(988777.5*1.10231)/1000</f>
        <v>1089.9393260249999</v>
      </c>
      <c r="I22" s="5">
        <f t="shared" si="3"/>
        <v>4103.2896135830006</v>
      </c>
      <c r="J22" s="6">
        <v>370.89100000000002</v>
      </c>
      <c r="K22" s="90"/>
    </row>
    <row r="23" spans="1:13" ht="14.4">
      <c r="A23" s="15" t="s">
        <v>28</v>
      </c>
      <c r="B23" s="41"/>
      <c r="C23" s="6">
        <f>SUM(C11:C22)</f>
        <v>52493.097999999998</v>
      </c>
      <c r="D23" s="6">
        <f>(573430.4*1.10231)/1000</f>
        <v>632.09806422399993</v>
      </c>
      <c r="E23" s="6">
        <f>B11+C23+D23</f>
        <v>53496.087064224004</v>
      </c>
      <c r="F23" s="6"/>
      <c r="G23" s="6">
        <f>SUM(G11:G22)</f>
        <v>38461.705384276</v>
      </c>
      <c r="H23" s="6">
        <f>(13302510.8*1.10231131)/1000</f>
        <v>14663.508106237146</v>
      </c>
      <c r="I23" s="5">
        <f>SUM(I11:I22)</f>
        <v>53125.196174455006</v>
      </c>
      <c r="J23" s="6"/>
      <c r="K23" s="87"/>
    </row>
    <row r="24" spans="1:13" ht="14.4">
      <c r="A24" s="15"/>
      <c r="B24" s="41"/>
      <c r="C24" s="6"/>
      <c r="D24" s="6"/>
      <c r="E24" s="6"/>
      <c r="F24" s="6"/>
      <c r="G24" s="6"/>
      <c r="H24" s="6"/>
      <c r="I24" s="6"/>
      <c r="J24" s="6"/>
      <c r="K24" s="87"/>
    </row>
    <row r="25" spans="1:13" ht="14.4">
      <c r="A25" s="31" t="s">
        <v>54</v>
      </c>
      <c r="B25" s="41"/>
      <c r="C25" s="6"/>
      <c r="D25" s="6"/>
      <c r="E25" s="6"/>
      <c r="F25" s="6"/>
      <c r="G25" s="6"/>
      <c r="H25" s="6"/>
      <c r="I25" s="6"/>
      <c r="J25" s="6"/>
      <c r="K25" s="87"/>
    </row>
    <row r="26" spans="1:13" ht="14.4">
      <c r="A26" s="15" t="s">
        <v>39</v>
      </c>
      <c r="B26" s="110">
        <f>J22</f>
        <v>370.89100000000002</v>
      </c>
      <c r="C26" s="111">
        <v>4738.4830000000002</v>
      </c>
      <c r="D26" s="6">
        <f>(43328.6*1.10231)/1000</f>
        <v>47.761549065999994</v>
      </c>
      <c r="E26" s="6">
        <f t="shared" ref="E26:E31" si="5">SUM(B26:D26)</f>
        <v>5157.1355490659998</v>
      </c>
      <c r="F26" s="6"/>
      <c r="G26" s="6">
        <f t="shared" ref="G26:G31" si="6">I26-H26</f>
        <v>3508.2654674079995</v>
      </c>
      <c r="H26" s="6">
        <f>(1192251.8*1.10231)/1000</f>
        <v>1314.231081658</v>
      </c>
      <c r="I26" s="103">
        <f t="shared" ref="I26:I31" si="7">E26-J26</f>
        <v>4822.4965490659997</v>
      </c>
      <c r="J26" s="111">
        <v>334.63900000000001</v>
      </c>
      <c r="K26" s="87"/>
    </row>
    <row r="27" spans="1:13" ht="14.4">
      <c r="A27" s="15" t="s">
        <v>40</v>
      </c>
      <c r="B27" s="41">
        <f t="shared" ref="B27:B32" si="8">J26</f>
        <v>334.63900000000001</v>
      </c>
      <c r="C27" s="6">
        <v>4706.2079999999996</v>
      </c>
      <c r="D27" s="6">
        <f>(48386*1.10231)/1000</f>
        <v>53.336371659999998</v>
      </c>
      <c r="E27" s="6">
        <f t="shared" si="5"/>
        <v>5094.1833716599995</v>
      </c>
      <c r="F27" s="6"/>
      <c r="G27" s="6">
        <f t="shared" si="6"/>
        <v>3323.0084968819997</v>
      </c>
      <c r="H27" s="6">
        <f>(1330603.8*1.10231)/1000</f>
        <v>1466.7378747779999</v>
      </c>
      <c r="I27" s="6">
        <f t="shared" si="7"/>
        <v>4789.7463716599996</v>
      </c>
      <c r="J27" s="6">
        <v>304.43700000000001</v>
      </c>
      <c r="K27" s="87"/>
    </row>
    <row r="28" spans="1:13" ht="14.4">
      <c r="A28" s="15" t="s">
        <v>42</v>
      </c>
      <c r="B28" s="41">
        <f t="shared" si="8"/>
        <v>304.43700000000001</v>
      </c>
      <c r="C28" s="6">
        <v>4818.3419999999996</v>
      </c>
      <c r="D28" s="107">
        <f>(53080.8*1.10231)/1000</f>
        <v>58.511496647999998</v>
      </c>
      <c r="E28" s="107">
        <f t="shared" si="5"/>
        <v>5181.2904966479991</v>
      </c>
      <c r="F28" s="107"/>
      <c r="G28" s="107">
        <f t="shared" si="6"/>
        <v>3083.7882748589991</v>
      </c>
      <c r="H28" s="107">
        <f>(1448541.9*1.10231)/1000</f>
        <v>1596.7422217889998</v>
      </c>
      <c r="I28" s="107">
        <f t="shared" si="7"/>
        <v>4680.5304966479989</v>
      </c>
      <c r="J28" s="6">
        <v>500.76</v>
      </c>
      <c r="K28" s="87"/>
      <c r="L28" s="35"/>
    </row>
    <row r="29" spans="1:13" ht="14.4">
      <c r="A29" s="15" t="s">
        <v>43</v>
      </c>
      <c r="B29" s="41">
        <f t="shared" si="8"/>
        <v>500.76</v>
      </c>
      <c r="C29" s="6">
        <v>4595.6220000000003</v>
      </c>
      <c r="D29" s="107">
        <f>(53674.5*1.10231)/1000</f>
        <v>59.165938094999994</v>
      </c>
      <c r="E29" s="107">
        <f t="shared" si="5"/>
        <v>5155.5479380950001</v>
      </c>
      <c r="F29" s="107"/>
      <c r="G29" s="107">
        <f t="shared" si="6"/>
        <v>3288.6776487350007</v>
      </c>
      <c r="H29" s="107">
        <f>(1376056*1.10231)/1000</f>
        <v>1516.8402893599998</v>
      </c>
      <c r="I29" s="107">
        <f t="shared" si="7"/>
        <v>4805.5179380950003</v>
      </c>
      <c r="J29" s="6">
        <v>350.03</v>
      </c>
      <c r="K29" s="87"/>
      <c r="L29" s="35"/>
      <c r="M29" s="96"/>
    </row>
    <row r="30" spans="1:13" ht="14.4">
      <c r="A30" s="15" t="s">
        <v>44</v>
      </c>
      <c r="B30" s="41">
        <f t="shared" si="8"/>
        <v>350.03</v>
      </c>
      <c r="C30" s="6">
        <v>4557.0920000000006</v>
      </c>
      <c r="D30" s="107">
        <f>(57158.1*1.10231)/1000</f>
        <v>63.00594521099999</v>
      </c>
      <c r="E30" s="107">
        <f t="shared" si="5"/>
        <v>4970.1279452110002</v>
      </c>
      <c r="F30" s="107"/>
      <c r="G30" s="107">
        <f t="shared" si="6"/>
        <v>3138.4475940110005</v>
      </c>
      <c r="H30" s="107">
        <f>(1365520*1.10231)/1000</f>
        <v>1505.2263512</v>
      </c>
      <c r="I30" s="107">
        <f t="shared" si="7"/>
        <v>4643.6739452110005</v>
      </c>
      <c r="J30" s="6">
        <v>326.45400000000001</v>
      </c>
      <c r="K30" s="87"/>
      <c r="L30" s="35"/>
      <c r="M30" s="147"/>
    </row>
    <row r="31" spans="1:13" ht="14.4">
      <c r="A31" s="15" t="s">
        <v>46</v>
      </c>
      <c r="B31" s="41">
        <f t="shared" si="8"/>
        <v>326.45400000000001</v>
      </c>
      <c r="C31" s="6">
        <v>4797.4049999999997</v>
      </c>
      <c r="D31" s="107">
        <f>(52412.6*1.10231)/1000</f>
        <v>57.774933105999999</v>
      </c>
      <c r="E31" s="107">
        <f t="shared" si="5"/>
        <v>5181.6339331059999</v>
      </c>
      <c r="F31" s="107"/>
      <c r="G31" s="107">
        <f t="shared" si="6"/>
        <v>2969.6471064249995</v>
      </c>
      <c r="H31" s="107">
        <f>(1498795.1*1.10231)/1000</f>
        <v>1652.136826681</v>
      </c>
      <c r="I31" s="107">
        <f t="shared" si="7"/>
        <v>4621.7839331059995</v>
      </c>
      <c r="J31" s="6">
        <v>559.85</v>
      </c>
      <c r="K31" s="87"/>
      <c r="L31" s="35"/>
      <c r="M31" s="147"/>
    </row>
    <row r="32" spans="1:13" ht="14.4">
      <c r="A32" s="15" t="s">
        <v>47</v>
      </c>
      <c r="B32" s="41">
        <f t="shared" si="8"/>
        <v>559.85</v>
      </c>
      <c r="C32" s="6">
        <v>4205.6130000000003</v>
      </c>
      <c r="D32" s="107">
        <f>(45671.7*1.10231)/1000</f>
        <v>50.344371626999994</v>
      </c>
      <c r="E32" s="107">
        <f t="shared" ref="E32" si="9">SUM(B32:D32)</f>
        <v>4815.807371627001</v>
      </c>
      <c r="F32" s="107"/>
      <c r="G32" s="107">
        <f t="shared" ref="G32" si="10">I32-H32</f>
        <v>3094.5719551340007</v>
      </c>
      <c r="H32" s="107">
        <f>(1257180.3*1.10231)/1000</f>
        <v>1385.802416493</v>
      </c>
      <c r="I32" s="107">
        <f t="shared" ref="I32" si="11">E32-J32</f>
        <v>4480.374371627001</v>
      </c>
      <c r="J32" s="6">
        <v>335.43299999999999</v>
      </c>
      <c r="K32" s="87"/>
      <c r="L32" s="35"/>
      <c r="M32" s="147"/>
    </row>
    <row r="33" spans="1:10" ht="16.2">
      <c r="A33" s="82" t="s">
        <v>68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4.4">
      <c r="A34" s="15" t="s">
        <v>69</v>
      </c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3.8">
      <c r="A35" s="20" t="s">
        <v>57</v>
      </c>
      <c r="B35" s="37">
        <f>Contents!A16</f>
        <v>45457</v>
      </c>
      <c r="C35" s="34"/>
      <c r="D35" s="29"/>
      <c r="E35" s="29"/>
      <c r="F35" s="29"/>
      <c r="G35" s="29"/>
      <c r="H35" s="29"/>
      <c r="I35" s="29"/>
      <c r="J35" s="29"/>
    </row>
    <row r="36" spans="1:10">
      <c r="B36" s="43"/>
      <c r="C36" s="44"/>
      <c r="D36" s="43"/>
      <c r="E36" s="84"/>
      <c r="F36" s="43"/>
      <c r="G36" s="43"/>
      <c r="H36" s="45"/>
      <c r="I36" s="84"/>
      <c r="J36" s="43"/>
    </row>
    <row r="37" spans="1:10">
      <c r="B37" s="43"/>
      <c r="C37" s="43"/>
      <c r="D37" s="43"/>
      <c r="E37" s="43"/>
      <c r="F37" s="43"/>
      <c r="G37" s="43"/>
      <c r="H37" s="43"/>
      <c r="I37" s="43"/>
      <c r="J37" s="43"/>
    </row>
    <row r="38" spans="1:10">
      <c r="G38" s="35"/>
    </row>
    <row r="39" spans="1:10">
      <c r="G39" s="94"/>
    </row>
  </sheetData>
  <mergeCells count="3">
    <mergeCell ref="G2:I2"/>
    <mergeCell ref="B5:J5"/>
    <mergeCell ref="B2:E2"/>
  </mergeCells>
  <phoneticPr fontId="45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7"/>
  <sheetViews>
    <sheetView showGridLines="0" zoomScale="80" zoomScaleNormal="80" workbookViewId="0">
      <pane xSplit="1" ySplit="1" topLeftCell="B2" activePane="bottomRight" state="frozen"/>
      <selection pane="topRight" activeCell="B1" sqref="B1"/>
      <selection pane="bottomLeft" activeCell="B1" sqref="B1"/>
      <selection pane="bottomRight"/>
    </sheetView>
  </sheetViews>
  <sheetFormatPr defaultColWidth="9.109375" defaultRowHeight="13.2"/>
  <cols>
    <col min="1" max="1" width="15.44140625" customWidth="1"/>
    <col min="2" max="2" width="12.44140625" bestFit="1" customWidth="1"/>
    <col min="3" max="3" width="12.109375" bestFit="1" customWidth="1"/>
    <col min="4" max="4" width="11" bestFit="1" customWidth="1"/>
    <col min="5" max="5" width="12.44140625" customWidth="1"/>
    <col min="6" max="6" width="3.5546875" customWidth="1"/>
    <col min="7" max="7" width="11.5546875" bestFit="1" customWidth="1"/>
    <col min="8" max="8" width="12.44140625" customWidth="1"/>
    <col min="9" max="9" width="12.5546875" customWidth="1"/>
    <col min="10" max="10" width="9.554687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20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8">
      <c r="A2" s="15"/>
      <c r="B2" s="183" t="s">
        <v>58</v>
      </c>
      <c r="C2" s="183"/>
      <c r="D2" s="183"/>
      <c r="E2" s="183"/>
      <c r="F2" s="15"/>
      <c r="G2" s="183" t="s">
        <v>59</v>
      </c>
      <c r="H2" s="183"/>
      <c r="I2" s="183"/>
      <c r="J2" s="129"/>
      <c r="K2" s="129"/>
      <c r="L2" s="15"/>
    </row>
    <row r="3" spans="1:20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29" t="s">
        <v>64</v>
      </c>
      <c r="H3" s="129"/>
      <c r="I3" s="129"/>
      <c r="J3" s="17" t="s">
        <v>72</v>
      </c>
      <c r="K3" s="17" t="s">
        <v>63</v>
      </c>
      <c r="L3" s="17" t="s">
        <v>60</v>
      </c>
    </row>
    <row r="4" spans="1:20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">
      <c r="A5" s="15"/>
      <c r="B5" s="185" t="s">
        <v>75</v>
      </c>
      <c r="C5" s="185"/>
      <c r="D5" s="186"/>
      <c r="E5" s="185"/>
      <c r="F5" s="185"/>
      <c r="G5" s="185"/>
      <c r="H5" s="185"/>
      <c r="I5" s="185"/>
      <c r="J5" s="185"/>
      <c r="K5" s="185"/>
      <c r="L5" s="185"/>
    </row>
    <row r="6" spans="1:20" ht="16.2">
      <c r="A6" s="15" t="s">
        <v>35</v>
      </c>
      <c r="B6" s="40">
        <v>1991.1479999999999</v>
      </c>
      <c r="C6" s="40">
        <f>C23</f>
        <v>26227.309000000001</v>
      </c>
      <c r="D6" s="146">
        <f>D23</f>
        <v>375.69933535679996</v>
      </c>
      <c r="E6" s="40">
        <f>E23</f>
        <v>28210.080335356801</v>
      </c>
      <c r="F6" s="40"/>
      <c r="G6" s="40">
        <f>K6-J6</f>
        <v>26224.934401643801</v>
      </c>
      <c r="H6" s="40">
        <f>H23</f>
        <v>12490.714000000002</v>
      </c>
      <c r="I6" s="28">
        <f>G6-H6</f>
        <v>13734.220401643799</v>
      </c>
      <c r="J6" s="40">
        <f>J23</f>
        <v>378.07393371299997</v>
      </c>
      <c r="K6" s="40">
        <f>E6-L6</f>
        <v>26603.008335356801</v>
      </c>
      <c r="L6" s="40">
        <f>L22</f>
        <v>1607.0719999999999</v>
      </c>
    </row>
    <row r="7" spans="1:20" ht="16.2">
      <c r="A7" s="15" t="s">
        <v>36</v>
      </c>
      <c r="B7" s="40">
        <f>L6</f>
        <v>1607.0719999999999</v>
      </c>
      <c r="C7" s="40">
        <v>26955</v>
      </c>
      <c r="D7" s="146">
        <v>550</v>
      </c>
      <c r="E7" s="40">
        <f>SUM(B7:D7)</f>
        <v>29112.072</v>
      </c>
      <c r="F7" s="40"/>
      <c r="G7" s="40">
        <f>SUM(H7:I7)</f>
        <v>27000</v>
      </c>
      <c r="H7" s="40">
        <v>13000</v>
      </c>
      <c r="I7" s="28">
        <v>14000</v>
      </c>
      <c r="J7" s="40">
        <v>450</v>
      </c>
      <c r="K7" s="40">
        <f>G7+J7</f>
        <v>27450</v>
      </c>
      <c r="L7" s="40">
        <f>E7-K7</f>
        <v>1662.0720000000001</v>
      </c>
      <c r="M7" s="174"/>
      <c r="N7" s="174"/>
      <c r="O7" s="174"/>
      <c r="P7" s="174"/>
      <c r="Q7" s="174"/>
      <c r="R7" s="174"/>
      <c r="S7" s="174"/>
      <c r="T7" s="174"/>
    </row>
    <row r="8" spans="1:20" ht="16.2">
      <c r="A8" s="15" t="s">
        <v>156</v>
      </c>
      <c r="B8" s="40">
        <f>L7</f>
        <v>1662.0720000000001</v>
      </c>
      <c r="C8" s="40">
        <v>28515</v>
      </c>
      <c r="D8" s="146">
        <v>450</v>
      </c>
      <c r="E8" s="40">
        <f>SUM(B8:D8)</f>
        <v>30627.072</v>
      </c>
      <c r="F8" s="40"/>
      <c r="G8" s="40">
        <v>28200</v>
      </c>
      <c r="H8" s="40">
        <v>14000</v>
      </c>
      <c r="I8" s="28">
        <v>14200</v>
      </c>
      <c r="J8" s="40">
        <v>600</v>
      </c>
      <c r="K8" s="40">
        <f>G8+J8</f>
        <v>28800</v>
      </c>
      <c r="L8" s="40">
        <f>E8-K8</f>
        <v>1827.0720000000001</v>
      </c>
    </row>
    <row r="9" spans="1:20" ht="13.8">
      <c r="A9" s="15"/>
      <c r="B9" s="40"/>
      <c r="C9" s="40"/>
      <c r="D9" s="40"/>
      <c r="E9" s="40"/>
      <c r="F9" s="40"/>
      <c r="G9" s="40"/>
      <c r="H9" s="40"/>
      <c r="I9" s="81"/>
      <c r="J9" s="40"/>
      <c r="K9" s="40"/>
      <c r="L9" s="40"/>
    </row>
    <row r="10" spans="1:20" ht="13.8">
      <c r="A10" s="31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8">
      <c r="A11" s="15" t="s">
        <v>39</v>
      </c>
      <c r="B11" s="5">
        <f>L6</f>
        <v>1607.0719999999999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3974.9004372508002</v>
      </c>
      <c r="F11" s="5"/>
      <c r="G11" s="5">
        <f>K11-J11</f>
        <v>1857.7417746276001</v>
      </c>
      <c r="H11" s="109">
        <v>906.40899999999999</v>
      </c>
      <c r="I11" s="6">
        <f t="shared" ref="I11:I17" si="1">G11-H11</f>
        <v>951.33277462760009</v>
      </c>
      <c r="J11" s="6">
        <f>(10675.6*2204.622)/1000000</f>
        <v>23.5356626232</v>
      </c>
      <c r="K11" s="6">
        <f t="shared" ref="K11:K17" si="2">E11-L11</f>
        <v>1881.2774372508002</v>
      </c>
      <c r="L11" s="5">
        <v>2093.623</v>
      </c>
      <c r="N11" s="89"/>
    </row>
    <row r="12" spans="1:20" ht="13.8">
      <c r="A12" s="15" t="s">
        <v>40</v>
      </c>
      <c r="B12" s="5">
        <f t="shared" ref="B12:B18" si="3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ref="G12:G18" si="4">K12-J12</f>
        <v>2183.7493667224003</v>
      </c>
      <c r="H12" s="109">
        <v>943.34199999999998</v>
      </c>
      <c r="I12" s="6">
        <f t="shared" si="1"/>
        <v>1240.4073667224002</v>
      </c>
      <c r="J12" s="6">
        <f>(10635.4*2204.622)/1000000</f>
        <v>23.447036818799997</v>
      </c>
      <c r="K12" s="6">
        <f t="shared" si="2"/>
        <v>2207.1964035412002</v>
      </c>
      <c r="L12" s="5">
        <v>2112.2809999999999</v>
      </c>
      <c r="N12" s="89"/>
    </row>
    <row r="13" spans="1:20" ht="13.8">
      <c r="A13" s="15" t="s">
        <v>42</v>
      </c>
      <c r="B13" s="5">
        <f t="shared" si="3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4"/>
        <v>1989.2481907986005</v>
      </c>
      <c r="H13" s="109">
        <v>885.65899999999999</v>
      </c>
      <c r="I13" s="6">
        <f t="shared" si="1"/>
        <v>1103.5891907986006</v>
      </c>
      <c r="J13" s="6">
        <f>(15806.1*2204.622)/1000000</f>
        <v>34.846475794199996</v>
      </c>
      <c r="K13" s="6">
        <f t="shared" si="2"/>
        <v>2024.0946665928004</v>
      </c>
      <c r="L13" s="5">
        <v>2306.1469999999999</v>
      </c>
      <c r="N13" s="89"/>
    </row>
    <row r="14" spans="1:20" ht="13.8">
      <c r="A14" s="15" t="s">
        <v>43</v>
      </c>
      <c r="B14" s="5">
        <f t="shared" si="3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4"/>
        <v>2211.8930392041998</v>
      </c>
      <c r="H14" s="109">
        <v>940.87400000000002</v>
      </c>
      <c r="I14" s="6">
        <f t="shared" si="1"/>
        <v>1271.0190392041998</v>
      </c>
      <c r="J14" s="6">
        <f>(6989.1*2204.622)/1000000</f>
        <v>15.408323620199999</v>
      </c>
      <c r="K14" s="6">
        <f t="shared" si="2"/>
        <v>2227.3013628243998</v>
      </c>
      <c r="L14" s="5">
        <v>2356.4009999999998</v>
      </c>
      <c r="N14" s="89"/>
    </row>
    <row r="15" spans="1:20" ht="13.8">
      <c r="A15" s="15" t="s">
        <v>44</v>
      </c>
      <c r="B15" s="5">
        <f t="shared" si="3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4"/>
        <v>2091.4034745958002</v>
      </c>
      <c r="H15" s="109">
        <v>909.98699999999997</v>
      </c>
      <c r="I15" s="6">
        <f t="shared" si="1"/>
        <v>1181.4164745958001</v>
      </c>
      <c r="J15" s="6">
        <f>(11774.3*2204.622)/1000000</f>
        <v>25.957880814599999</v>
      </c>
      <c r="K15" s="6">
        <f t="shared" si="2"/>
        <v>2117.3613554103999</v>
      </c>
      <c r="L15" s="5">
        <v>2363.797</v>
      </c>
      <c r="N15" s="89"/>
    </row>
    <row r="16" spans="1:20" ht="13.8">
      <c r="A16" s="15" t="s">
        <v>46</v>
      </c>
      <c r="B16" s="5">
        <f t="shared" si="3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4"/>
        <v>2336.5298038548008</v>
      </c>
      <c r="H16" s="109">
        <v>952.70299999999997</v>
      </c>
      <c r="I16" s="6">
        <f t="shared" si="1"/>
        <v>1383.8268038548008</v>
      </c>
      <c r="J16" s="6">
        <f>(5807.4*2204.622)/1000000</f>
        <v>12.803121802799998</v>
      </c>
      <c r="K16" s="6">
        <f t="shared" si="2"/>
        <v>2349.3329256576008</v>
      </c>
      <c r="L16" s="5">
        <v>2387.5129999999999</v>
      </c>
      <c r="N16" s="89"/>
    </row>
    <row r="17" spans="1:14" ht="13.8">
      <c r="A17" s="15" t="s">
        <v>47</v>
      </c>
      <c r="B17" s="5">
        <f t="shared" si="3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4"/>
        <v>2058.2364235171999</v>
      </c>
      <c r="H17" s="109">
        <v>926.59799999999996</v>
      </c>
      <c r="I17" s="6">
        <f t="shared" si="1"/>
        <v>1131.6384235172</v>
      </c>
      <c r="J17" s="6">
        <f>(27498.1*2204.622)/1000000</f>
        <v>60.62291621819999</v>
      </c>
      <c r="K17" s="6">
        <f t="shared" si="2"/>
        <v>2118.8593397353998</v>
      </c>
      <c r="L17" s="5">
        <v>2539.6790000000001</v>
      </c>
      <c r="N17" s="89"/>
    </row>
    <row r="18" spans="1:14" ht="13.8">
      <c r="A18" s="15" t="s">
        <v>48</v>
      </c>
      <c r="B18" s="5">
        <f t="shared" si="3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4"/>
        <v>2385.7924694315993</v>
      </c>
      <c r="H18" s="109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89"/>
    </row>
    <row r="19" spans="1:14" ht="13.8">
      <c r="A19" s="15" t="s">
        <v>50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09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3.8">
      <c r="A20" s="15" t="s">
        <v>51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09">
        <v>1272.7660000000001</v>
      </c>
      <c r="I20" s="103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3.8">
      <c r="A21" s="15" t="s">
        <v>52</v>
      </c>
      <c r="B21" s="5">
        <f>L20</f>
        <v>2136.2020000000002</v>
      </c>
      <c r="C21" s="105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09">
        <v>1197.1020000000001</v>
      </c>
      <c r="I21" s="107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3.8">
      <c r="A22" s="15" t="s">
        <v>38</v>
      </c>
      <c r="B22" s="5">
        <f>L21</f>
        <v>1772.383</v>
      </c>
      <c r="C22" s="105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2239.2963245780002</v>
      </c>
      <c r="H22" s="109">
        <v>1207.4829999999999</v>
      </c>
      <c r="I22" s="107">
        <f t="shared" si="5"/>
        <v>1031.8133245780002</v>
      </c>
      <c r="J22" s="6">
        <f>(12696.1*2204.622)/1000000</f>
        <v>27.990101374199998</v>
      </c>
      <c r="K22" s="6">
        <f>E22-L22</f>
        <v>2267.2864259522003</v>
      </c>
      <c r="L22" s="5">
        <v>1607.0719999999999</v>
      </c>
    </row>
    <row r="23" spans="1:14" ht="13.8">
      <c r="A23" s="15" t="s">
        <v>28</v>
      </c>
      <c r="B23" s="5"/>
      <c r="C23" s="105">
        <f>SUM(C11:C22)</f>
        <v>26227.309000000001</v>
      </c>
      <c r="D23" s="6">
        <f>(170414.4*2204.622)/1000000</f>
        <v>375.69933535679996</v>
      </c>
      <c r="E23" s="6">
        <f>B11+C23+D23</f>
        <v>28210.080335356801</v>
      </c>
      <c r="F23" s="5"/>
      <c r="G23" s="5">
        <f>SUM(G11:G22)</f>
        <v>26224.934622106</v>
      </c>
      <c r="H23" s="109">
        <f>SUM(H11:H22)</f>
        <v>12490.714000000002</v>
      </c>
      <c r="I23" s="107">
        <f t="shared" si="5"/>
        <v>13734.220622105999</v>
      </c>
      <c r="J23" s="6">
        <f>(171491.5*2204.622)/1000000</f>
        <v>378.07393371299997</v>
      </c>
      <c r="K23" s="6">
        <f>SUM(K11:K22)</f>
        <v>26603.008335356801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39</v>
      </c>
      <c r="B26" s="5">
        <f>L22</f>
        <v>1607.0719999999999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4028.1127735761997</v>
      </c>
      <c r="F26" s="5"/>
      <c r="G26" s="5">
        <f t="shared" ref="G26:G32" si="7">K26-J26</f>
        <v>2513.5235816765999</v>
      </c>
      <c r="H26" s="127">
        <v>1061.944</v>
      </c>
      <c r="I26" s="107">
        <f t="shared" ref="I26" si="8">G26-H26</f>
        <v>1451.5795816765999</v>
      </c>
      <c r="J26" s="6">
        <f>(5891.8*2204.622)/1000000</f>
        <v>12.9891918996</v>
      </c>
      <c r="K26" s="6">
        <f t="shared" ref="K26:K32" si="9">E26-L26</f>
        <v>2526.5127735761998</v>
      </c>
      <c r="L26" s="6">
        <v>1501.6</v>
      </c>
      <c r="N26" s="35"/>
    </row>
    <row r="27" spans="1:14" ht="13.8">
      <c r="A27" s="15" t="s">
        <v>40</v>
      </c>
      <c r="B27" s="5">
        <f t="shared" ref="B27:B32" si="10"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 t="shared" si="7"/>
        <v>2250.308405579</v>
      </c>
      <c r="H27" s="128">
        <v>1062.1690000000001</v>
      </c>
      <c r="I27" s="107">
        <f>G27-H27</f>
        <v>1188.1394055789999</v>
      </c>
      <c r="J27" s="6">
        <f>(6262.6*2204.622)/1000000</f>
        <v>13.806665737199999</v>
      </c>
      <c r="K27" s="6">
        <f t="shared" si="9"/>
        <v>2264.1150713162001</v>
      </c>
      <c r="L27" s="6">
        <v>1599.096</v>
      </c>
      <c r="N27" s="35"/>
    </row>
    <row r="28" spans="1:14" ht="13.8">
      <c r="A28" s="15" t="s">
        <v>42</v>
      </c>
      <c r="B28" s="5">
        <f t="shared" si="10"/>
        <v>1599.096</v>
      </c>
      <c r="C28" s="6">
        <v>2376.2370000000001</v>
      </c>
      <c r="D28" s="6">
        <f>(21904*2204.622)/1000000</f>
        <v>48.290040287999993</v>
      </c>
      <c r="E28" s="6">
        <f>SUM(B28:D28)</f>
        <v>4023.6230402880001</v>
      </c>
      <c r="F28" s="6"/>
      <c r="G28" s="107">
        <f t="shared" si="7"/>
        <v>2187.1307621506003</v>
      </c>
      <c r="H28" s="128">
        <v>1141.32</v>
      </c>
      <c r="I28" s="107">
        <f>G28-H28</f>
        <v>1045.8107621506003</v>
      </c>
      <c r="J28" s="6">
        <f>(5741.7*2204.622)/1000000</f>
        <v>12.6582781374</v>
      </c>
      <c r="K28" s="6">
        <f t="shared" si="9"/>
        <v>2199.7890402880003</v>
      </c>
      <c r="L28" s="6">
        <v>1823.8340000000001</v>
      </c>
      <c r="N28" s="35"/>
    </row>
    <row r="29" spans="1:14" ht="13.8">
      <c r="A29" s="15" t="s">
        <v>43</v>
      </c>
      <c r="B29" s="5">
        <f t="shared" si="10"/>
        <v>1823.8340000000001</v>
      </c>
      <c r="C29" s="6">
        <v>2288.5720000000001</v>
      </c>
      <c r="D29" s="6">
        <f>(22995*2204.622)/1000000</f>
        <v>50.695282889999994</v>
      </c>
      <c r="E29" s="6">
        <f>SUM(B29:D29)</f>
        <v>4163.1012828900002</v>
      </c>
      <c r="F29" s="6"/>
      <c r="G29" s="107">
        <f t="shared" si="7"/>
        <v>2122.8299197475999</v>
      </c>
      <c r="H29" s="6">
        <v>960.20299999999997</v>
      </c>
      <c r="I29" s="107">
        <f>G29-H29</f>
        <v>1162.6269197475999</v>
      </c>
      <c r="J29" s="6">
        <f>(5219.2*2204.622)/1000000</f>
        <v>11.506363142399998</v>
      </c>
      <c r="K29" s="6">
        <f t="shared" si="9"/>
        <v>2134.3362828899999</v>
      </c>
      <c r="L29" s="6">
        <v>2028.7650000000001</v>
      </c>
      <c r="N29" s="35"/>
    </row>
    <row r="30" spans="1:14" ht="13.8">
      <c r="A30" s="15" t="s">
        <v>44</v>
      </c>
      <c r="B30" s="5">
        <f t="shared" si="10"/>
        <v>2028.7650000000001</v>
      </c>
      <c r="C30" s="6">
        <v>2292.36</v>
      </c>
      <c r="D30" s="6">
        <f>(15950.7*2204.622)/1000000</f>
        <v>35.165264135399994</v>
      </c>
      <c r="E30" s="6">
        <f>SUM(B30:D30)</f>
        <v>4356.2902641354003</v>
      </c>
      <c r="F30" s="6"/>
      <c r="G30" s="107">
        <f t="shared" si="7"/>
        <v>2193.7767908488004</v>
      </c>
      <c r="H30" s="6">
        <v>888.49</v>
      </c>
      <c r="I30" s="107">
        <f>G30-H30</f>
        <v>1305.2867908488004</v>
      </c>
      <c r="J30" s="6">
        <f>(6450.3*2204.622)/1000000</f>
        <v>14.220473286599999</v>
      </c>
      <c r="K30" s="6">
        <f t="shared" si="9"/>
        <v>2207.9972641354002</v>
      </c>
      <c r="L30" s="6">
        <v>2148.2930000000001</v>
      </c>
      <c r="N30" s="35"/>
    </row>
    <row r="31" spans="1:14" ht="13.8">
      <c r="A31" s="15" t="s">
        <v>46</v>
      </c>
      <c r="B31" s="5">
        <f t="shared" si="10"/>
        <v>2148.2930000000001</v>
      </c>
      <c r="C31" s="6">
        <v>2405.5709999999999</v>
      </c>
      <c r="D31" s="6">
        <f>(22598.7*2204.622)/1000000</f>
        <v>49.821591191399996</v>
      </c>
      <c r="E31" s="6">
        <f>SUM(B31:D31)</f>
        <v>4603.6855911913999</v>
      </c>
      <c r="F31" s="6"/>
      <c r="G31" s="107">
        <f t="shared" si="7"/>
        <v>2135.8192490381998</v>
      </c>
      <c r="H31" s="6">
        <v>1026.1990000000001</v>
      </c>
      <c r="I31" s="107">
        <f>G31-H31</f>
        <v>1109.6202490381997</v>
      </c>
      <c r="J31" s="6">
        <f>(44790.6*2204.622)/1000000</f>
        <v>98.74634215319999</v>
      </c>
      <c r="K31" s="6">
        <f t="shared" si="9"/>
        <v>2234.5655911914</v>
      </c>
      <c r="L31" s="6">
        <v>2369.12</v>
      </c>
      <c r="N31" s="35"/>
    </row>
    <row r="32" spans="1:14" ht="13.8">
      <c r="A32" s="15" t="s">
        <v>47</v>
      </c>
      <c r="B32" s="5">
        <f t="shared" si="10"/>
        <v>2369.12</v>
      </c>
      <c r="C32" s="6">
        <v>2097.7559999999999</v>
      </c>
      <c r="D32" s="6">
        <f>(24996.9*2204.622)/1000000</f>
        <v>55.108715671800006</v>
      </c>
      <c r="E32" s="6">
        <f>SUM(B32:D32)</f>
        <v>4521.9847156718006</v>
      </c>
      <c r="F32" s="6"/>
      <c r="G32" s="107">
        <f t="shared" si="7"/>
        <v>2188.2718875420005</v>
      </c>
      <c r="H32" s="6" t="s">
        <v>76</v>
      </c>
      <c r="I32" s="6" t="s">
        <v>76</v>
      </c>
      <c r="J32" s="6">
        <f>(10135.9*2204.622)/1000000</f>
        <v>22.345828129800001</v>
      </c>
      <c r="K32" s="6">
        <f t="shared" si="9"/>
        <v>2210.6177156718004</v>
      </c>
      <c r="L32" s="6">
        <v>2311.3670000000002</v>
      </c>
      <c r="N32" s="35"/>
    </row>
    <row r="33" spans="1:12" ht="16.2">
      <c r="A33" s="82" t="s">
        <v>77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4.4">
      <c r="A34" s="15" t="s">
        <v>69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3.8">
      <c r="A35" s="20" t="s">
        <v>57</v>
      </c>
      <c r="B35" s="37">
        <f>Contents!A16</f>
        <v>45457</v>
      </c>
      <c r="K35" s="35"/>
    </row>
    <row r="36" spans="1:12">
      <c r="E36" s="35"/>
    </row>
    <row r="37" spans="1:12">
      <c r="H37" s="94"/>
    </row>
  </sheetData>
  <mergeCells count="3">
    <mergeCell ref="B5:L5"/>
    <mergeCell ref="G2:I2"/>
    <mergeCell ref="B2:E2"/>
  </mergeCells>
  <phoneticPr fontId="45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R54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3.109375" customWidth="1"/>
    <col min="3" max="3" width="12.109375" customWidth="1"/>
    <col min="4" max="4" width="16.5546875" customWidth="1"/>
    <col min="5" max="5" width="15.44140625" customWidth="1"/>
    <col min="6" max="6" width="11.44140625" customWidth="1"/>
    <col min="7" max="7" width="11.5546875" customWidth="1"/>
    <col min="8" max="8" width="14" customWidth="1"/>
    <col min="9" max="9" width="9.5546875" customWidth="1"/>
    <col min="10" max="11" width="7.5546875" customWidth="1"/>
    <col min="12" max="12" width="8.5546875" customWidth="1"/>
    <col min="13" max="13" width="9.5546875" customWidth="1"/>
    <col min="14" max="14" width="9.5546875" bestFit="1" customWidth="1"/>
    <col min="15" max="15" width="8.44140625" bestFit="1" customWidth="1"/>
    <col min="19" max="19" width="17.44140625" bestFit="1" customWidth="1"/>
    <col min="21" max="21" width="28.441406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83" t="s">
        <v>58</v>
      </c>
      <c r="C2" s="183"/>
      <c r="D2" s="183"/>
      <c r="E2" s="183"/>
      <c r="F2" s="72"/>
      <c r="G2" s="183" t="s">
        <v>59</v>
      </c>
      <c r="H2" s="183"/>
      <c r="I2" s="183"/>
      <c r="J2" s="183"/>
      <c r="K2" s="72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78</v>
      </c>
      <c r="B4" s="23" t="s">
        <v>79</v>
      </c>
      <c r="C4" s="58" t="s">
        <v>26</v>
      </c>
      <c r="D4" s="25" t="s">
        <v>71</v>
      </c>
      <c r="E4" s="23" t="s">
        <v>80</v>
      </c>
      <c r="F4" s="24"/>
      <c r="G4" s="23" t="s">
        <v>81</v>
      </c>
      <c r="H4" s="23" t="s">
        <v>30</v>
      </c>
      <c r="I4" s="23" t="s">
        <v>82</v>
      </c>
      <c r="J4" s="23" t="s">
        <v>83</v>
      </c>
      <c r="K4" s="23" t="s">
        <v>62</v>
      </c>
      <c r="L4" s="15"/>
      <c r="M4" s="15"/>
      <c r="N4" s="15"/>
      <c r="O4" s="15"/>
    </row>
    <row r="5" spans="1:15" ht="14.4">
      <c r="A5" s="15"/>
      <c r="B5" s="189" t="s">
        <v>84</v>
      </c>
      <c r="C5" s="189"/>
      <c r="D5" s="189"/>
      <c r="E5" s="189"/>
      <c r="F5" s="189"/>
      <c r="G5" s="189"/>
      <c r="H5" s="189"/>
      <c r="I5" s="189"/>
      <c r="J5" s="189"/>
      <c r="K5" s="189"/>
      <c r="L5" s="15"/>
      <c r="M5" s="15"/>
      <c r="N5" s="15"/>
      <c r="O5" s="15"/>
    </row>
    <row r="6" spans="1:15" ht="13.8">
      <c r="A6" s="15" t="s">
        <v>37</v>
      </c>
      <c r="B6" s="74">
        <v>395.42099999999999</v>
      </c>
      <c r="C6" s="74">
        <v>4415</v>
      </c>
      <c r="D6" s="118">
        <v>101.14</v>
      </c>
      <c r="E6" s="74">
        <f>B6+C6+D6</f>
        <v>4911.5610000000006</v>
      </c>
      <c r="F6" s="75"/>
      <c r="G6" s="74">
        <v>1389.82</v>
      </c>
      <c r="H6" s="119">
        <v>185.60618629762095</v>
      </c>
      <c r="I6" s="74">
        <f>J6-G6-H6</f>
        <v>2950.9998137023799</v>
      </c>
      <c r="J6" s="74">
        <f>E6-K6</f>
        <v>4526.4260000000004</v>
      </c>
      <c r="K6" s="121">
        <v>385.13499999999999</v>
      </c>
      <c r="L6" s="120"/>
      <c r="M6" s="15"/>
      <c r="N6" s="120"/>
      <c r="O6" s="15"/>
    </row>
    <row r="7" spans="1:15" ht="16.2">
      <c r="A7" s="15" t="s">
        <v>155</v>
      </c>
      <c r="B7" s="74">
        <f>K6</f>
        <v>385.13499999999999</v>
      </c>
      <c r="C7" s="74">
        <v>3644</v>
      </c>
      <c r="D7" s="118">
        <v>25</v>
      </c>
      <c r="E7" s="74">
        <f>B7+C7+D7</f>
        <v>4054.1350000000002</v>
      </c>
      <c r="F7" s="75"/>
      <c r="G7" s="74">
        <v>1400</v>
      </c>
      <c r="H7" s="119">
        <v>400</v>
      </c>
      <c r="I7" s="74">
        <v>1909</v>
      </c>
      <c r="J7" s="74">
        <f>SUM(G7:I7)</f>
        <v>3709</v>
      </c>
      <c r="K7" s="74">
        <f>E7-J7</f>
        <v>345.13500000000022</v>
      </c>
      <c r="L7" s="120"/>
      <c r="M7" s="15"/>
      <c r="N7" s="120"/>
      <c r="O7" s="15"/>
    </row>
    <row r="8" spans="1:15" ht="16.2">
      <c r="A8" s="14" t="s">
        <v>156</v>
      </c>
      <c r="B8" s="177">
        <f>K7</f>
        <v>345.13500000000022</v>
      </c>
      <c r="C8" s="177">
        <v>5020</v>
      </c>
      <c r="D8" s="178">
        <v>25</v>
      </c>
      <c r="E8" s="177">
        <f>B8+C8+D8</f>
        <v>5390.1350000000002</v>
      </c>
      <c r="F8" s="179"/>
      <c r="G8" s="177">
        <v>1550</v>
      </c>
      <c r="H8" s="180">
        <v>450</v>
      </c>
      <c r="I8" s="177">
        <v>3000</v>
      </c>
      <c r="J8" s="177">
        <f>SUM(G8:I8)</f>
        <v>5000</v>
      </c>
      <c r="K8" s="177">
        <f>E8-J8</f>
        <v>390.13500000000022</v>
      </c>
      <c r="L8" s="15"/>
      <c r="M8" s="15"/>
      <c r="N8" s="15"/>
      <c r="O8" s="15"/>
    </row>
    <row r="9" spans="1:15" ht="16.2">
      <c r="A9" s="42" t="s">
        <v>85</v>
      </c>
      <c r="B9" s="15"/>
      <c r="C9" s="73"/>
      <c r="D9" s="73"/>
      <c r="E9" s="73"/>
      <c r="F9" s="73"/>
      <c r="G9" s="76"/>
      <c r="H9" s="73"/>
      <c r="I9" s="73"/>
      <c r="J9" s="73"/>
      <c r="K9" s="15"/>
      <c r="L9" s="15"/>
      <c r="M9" s="15"/>
      <c r="N9" s="15"/>
      <c r="O9" s="15"/>
    </row>
    <row r="10" spans="1:15" ht="14.4">
      <c r="A10" s="15" t="s">
        <v>86</v>
      </c>
      <c r="B10" s="29"/>
      <c r="C10" s="34"/>
      <c r="D10" s="15"/>
      <c r="E10" s="29"/>
      <c r="F10" s="29"/>
      <c r="G10" s="29"/>
      <c r="H10" s="29"/>
      <c r="I10" s="29"/>
      <c r="J10" s="29"/>
      <c r="K10" s="15"/>
      <c r="L10" s="15"/>
      <c r="M10" s="15"/>
      <c r="N10" s="15"/>
      <c r="O10" s="15"/>
    </row>
    <row r="11" spans="1:15" ht="14.4">
      <c r="A11" s="15" t="s">
        <v>87</v>
      </c>
      <c r="B11" s="29"/>
      <c r="C11" s="34"/>
      <c r="D11" s="15"/>
      <c r="E11" s="29"/>
      <c r="F11" s="29"/>
      <c r="G11" s="29"/>
      <c r="H11" s="29"/>
      <c r="I11" s="29"/>
      <c r="J11" s="29"/>
      <c r="K11" s="15"/>
      <c r="L11" s="15"/>
      <c r="M11" s="15"/>
      <c r="N11" s="15"/>
      <c r="O11" s="15"/>
    </row>
    <row r="12" spans="1:15" ht="13.8">
      <c r="A12" s="15"/>
      <c r="B12" s="29"/>
      <c r="C12" s="34"/>
      <c r="D12" s="15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83" t="s">
        <v>58</v>
      </c>
      <c r="C15" s="183"/>
      <c r="D15" s="183"/>
      <c r="E15" s="183"/>
      <c r="F15" s="15"/>
      <c r="G15" s="183" t="s">
        <v>59</v>
      </c>
      <c r="H15" s="183"/>
      <c r="I15" s="183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58" t="s">
        <v>26</v>
      </c>
      <c r="D17" s="25" t="s">
        <v>71</v>
      </c>
      <c r="E17" s="23" t="s">
        <v>83</v>
      </c>
      <c r="F17" s="24"/>
      <c r="G17" s="74" t="s">
        <v>88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189" t="s">
        <v>89</v>
      </c>
      <c r="C18" s="189"/>
      <c r="D18" s="189"/>
      <c r="E18" s="189"/>
      <c r="F18" s="189"/>
      <c r="G18" s="189"/>
      <c r="H18" s="189"/>
      <c r="I18" s="189"/>
      <c r="J18" s="189"/>
      <c r="K18" s="15"/>
      <c r="L18" s="15"/>
      <c r="M18" s="15"/>
      <c r="N18" s="15"/>
      <c r="O18" s="15"/>
    </row>
    <row r="19" spans="1:15" ht="13.8">
      <c r="A19" s="15" t="s">
        <v>37</v>
      </c>
      <c r="B19" s="74">
        <v>22.315999999999999</v>
      </c>
      <c r="C19" s="119">
        <v>589.51700000000005</v>
      </c>
      <c r="D19" s="118">
        <v>0</v>
      </c>
      <c r="E19" s="119">
        <f>B19+C19+D19</f>
        <v>611.83300000000008</v>
      </c>
      <c r="F19" s="75"/>
      <c r="G19" s="119">
        <f>E19-J19-H19</f>
        <v>526.23836987119705</v>
      </c>
      <c r="H19" s="119">
        <v>53.033630128802983</v>
      </c>
      <c r="I19" s="119">
        <f>SUM(G19:H19)</f>
        <v>579.27200000000005</v>
      </c>
      <c r="J19" s="74">
        <v>32.561</v>
      </c>
      <c r="K19" s="15"/>
      <c r="L19" s="15"/>
      <c r="M19" s="15"/>
      <c r="N19" s="15"/>
      <c r="O19" s="15"/>
    </row>
    <row r="20" spans="1:15" ht="16.2">
      <c r="A20" s="15" t="s">
        <v>155</v>
      </c>
      <c r="B20" s="74">
        <f>J19</f>
        <v>32.561</v>
      </c>
      <c r="C20" s="119">
        <v>595</v>
      </c>
      <c r="D20" s="118">
        <v>0</v>
      </c>
      <c r="E20" s="119">
        <f>B20+C20+D20</f>
        <v>627.56100000000004</v>
      </c>
      <c r="F20" s="75"/>
      <c r="G20" s="119">
        <v>533</v>
      </c>
      <c r="H20" s="119">
        <v>60</v>
      </c>
      <c r="I20" s="119">
        <f>SUM(G20:H20)</f>
        <v>593</v>
      </c>
      <c r="J20" s="74">
        <f>E20-I20</f>
        <v>34.561000000000035</v>
      </c>
      <c r="K20" s="15"/>
      <c r="L20" s="15"/>
      <c r="M20" s="15"/>
      <c r="N20" s="15"/>
      <c r="O20" s="15"/>
    </row>
    <row r="21" spans="1:15" ht="16.2">
      <c r="A21" s="14" t="s">
        <v>156</v>
      </c>
      <c r="B21" s="177">
        <f>J20</f>
        <v>34.561000000000035</v>
      </c>
      <c r="C21" s="180">
        <v>680</v>
      </c>
      <c r="D21" s="178">
        <v>0</v>
      </c>
      <c r="E21" s="180">
        <f>B21+C21+D21</f>
        <v>714.56100000000004</v>
      </c>
      <c r="F21" s="179"/>
      <c r="G21" s="180">
        <v>615</v>
      </c>
      <c r="H21" s="180">
        <v>60</v>
      </c>
      <c r="I21" s="180">
        <f>SUM(G21:H21)</f>
        <v>675</v>
      </c>
      <c r="J21" s="177">
        <f>E21-I21</f>
        <v>39.561000000000035</v>
      </c>
      <c r="K21" s="15"/>
      <c r="L21" s="15"/>
      <c r="M21" s="15"/>
      <c r="N21" s="15"/>
      <c r="O21" s="15"/>
    </row>
    <row r="22" spans="1:15" ht="16.2">
      <c r="A22" s="42" t="s">
        <v>85</v>
      </c>
      <c r="B22" s="15"/>
      <c r="C22" s="73"/>
      <c r="D22" s="73"/>
      <c r="E22" s="73"/>
      <c r="F22" s="73"/>
      <c r="G22" s="73"/>
      <c r="H22" s="73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90</v>
      </c>
      <c r="B23" s="75"/>
      <c r="C23" s="75"/>
      <c r="D23" s="75"/>
      <c r="E23" s="75"/>
      <c r="F23" s="75"/>
      <c r="G23" s="75"/>
      <c r="H23" s="75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29"/>
      <c r="C24" s="29"/>
      <c r="D24" s="29"/>
      <c r="E24" s="29"/>
      <c r="F24" s="29"/>
      <c r="G24" s="29"/>
      <c r="H24" s="29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29"/>
      <c r="C25" s="34"/>
      <c r="D25" s="29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83" t="s">
        <v>58</v>
      </c>
      <c r="C27" s="183"/>
      <c r="D27" s="183"/>
      <c r="E27" s="183"/>
      <c r="F27" s="15"/>
      <c r="G27" s="183" t="s">
        <v>59</v>
      </c>
      <c r="H27" s="183"/>
      <c r="I27" s="183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83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189" t="s">
        <v>75</v>
      </c>
      <c r="C30" s="189"/>
      <c r="D30" s="189"/>
      <c r="E30" s="189"/>
      <c r="F30" s="189"/>
      <c r="G30" s="189"/>
      <c r="H30" s="189"/>
      <c r="I30" s="189"/>
      <c r="J30" s="189"/>
      <c r="K30" s="15"/>
      <c r="L30" s="15"/>
      <c r="M30" s="15"/>
      <c r="N30" s="15"/>
      <c r="O30" s="15"/>
    </row>
    <row r="31" spans="1:15" ht="13.8">
      <c r="A31" s="15" t="s">
        <v>37</v>
      </c>
      <c r="B31" s="118">
        <v>49.698</v>
      </c>
      <c r="C31" s="119">
        <v>365.27800000000002</v>
      </c>
      <c r="D31" s="118">
        <v>15.945374023673999</v>
      </c>
      <c r="E31" s="122">
        <f>B31+C31+D31</f>
        <v>430.92137402367399</v>
      </c>
      <c r="F31" s="75"/>
      <c r="G31" s="119">
        <v>310</v>
      </c>
      <c r="H31" s="119">
        <v>71.126637277750007</v>
      </c>
      <c r="I31" s="119">
        <f>SUM(G31:H31)</f>
        <v>381.12663727774998</v>
      </c>
      <c r="J31" s="119">
        <f>E31-I31</f>
        <v>49.794736745924013</v>
      </c>
      <c r="K31" s="15"/>
      <c r="L31" s="15"/>
      <c r="M31" s="15"/>
      <c r="N31" s="15"/>
      <c r="O31" s="15"/>
    </row>
    <row r="32" spans="1:15" ht="16.2">
      <c r="A32" s="15" t="s">
        <v>155</v>
      </c>
      <c r="B32" s="118">
        <f>J31</f>
        <v>49.794736745924013</v>
      </c>
      <c r="C32" s="119">
        <v>375</v>
      </c>
      <c r="D32" s="118">
        <v>5</v>
      </c>
      <c r="E32" s="122">
        <f>B32+C32+D32</f>
        <v>429.79473674592401</v>
      </c>
      <c r="F32" s="75"/>
      <c r="G32" s="119">
        <v>355</v>
      </c>
      <c r="H32" s="119">
        <v>25</v>
      </c>
      <c r="I32" s="119">
        <f>SUM(G32:H32)</f>
        <v>380</v>
      </c>
      <c r="J32" s="119">
        <f>E32-I32</f>
        <v>49.794736745924013</v>
      </c>
      <c r="K32" s="15"/>
      <c r="L32" s="15"/>
      <c r="M32" s="15"/>
      <c r="N32" s="15"/>
      <c r="O32" s="15"/>
    </row>
    <row r="33" spans="1:18" ht="16.2">
      <c r="A33" s="14" t="s">
        <v>156</v>
      </c>
      <c r="B33" s="178">
        <f>J32</f>
        <v>49.794736745924013</v>
      </c>
      <c r="C33" s="180">
        <v>415</v>
      </c>
      <c r="D33" s="178">
        <v>5</v>
      </c>
      <c r="E33" s="181">
        <f>B33+C33+D33</f>
        <v>469.79473674592401</v>
      </c>
      <c r="F33" s="179"/>
      <c r="G33" s="180">
        <v>370</v>
      </c>
      <c r="H33" s="180">
        <v>50</v>
      </c>
      <c r="I33" s="180">
        <f>SUM(G33:H33)</f>
        <v>420</v>
      </c>
      <c r="J33" s="180">
        <f>E33-I33</f>
        <v>49.794736745924013</v>
      </c>
      <c r="K33" s="15"/>
      <c r="L33" s="15"/>
      <c r="M33" s="15"/>
      <c r="N33" s="15"/>
      <c r="O33" s="15"/>
    </row>
    <row r="34" spans="1:18" ht="16.2">
      <c r="A34" s="42" t="s">
        <v>85</v>
      </c>
      <c r="B34" s="15"/>
      <c r="C34" s="73"/>
      <c r="D34" s="73"/>
      <c r="E34" s="73"/>
      <c r="F34" s="73"/>
      <c r="G34" s="73"/>
      <c r="H34" s="73"/>
      <c r="I34" s="15"/>
      <c r="J34" s="15"/>
      <c r="K34" s="15"/>
      <c r="L34" s="15"/>
      <c r="M34" s="15"/>
      <c r="N34" s="15"/>
      <c r="O34" s="15"/>
      <c r="R34" s="123"/>
    </row>
    <row r="35" spans="1:18" ht="14.4">
      <c r="A35" s="15" t="s">
        <v>90</v>
      </c>
      <c r="B35" s="29"/>
      <c r="C35" s="34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  <c r="R35" s="123"/>
    </row>
    <row r="36" spans="1:18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8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8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8" ht="13.8">
      <c r="A39" s="15"/>
      <c r="B39" s="183" t="s">
        <v>13</v>
      </c>
      <c r="C39" s="183"/>
      <c r="D39" s="17" t="s">
        <v>14</v>
      </c>
      <c r="E39" s="183" t="s">
        <v>15</v>
      </c>
      <c r="F39" s="183"/>
      <c r="G39" s="183"/>
      <c r="H39" s="183"/>
      <c r="I39" s="15"/>
      <c r="J39" s="183" t="s">
        <v>59</v>
      </c>
      <c r="K39" s="183"/>
      <c r="L39" s="183"/>
      <c r="M39" s="183"/>
      <c r="N39" s="183"/>
      <c r="O39" s="72"/>
    </row>
    <row r="40" spans="1:18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5" t="s">
        <v>88</v>
      </c>
      <c r="K40" s="17"/>
      <c r="L40" s="17" t="s">
        <v>22</v>
      </c>
      <c r="M40" s="17"/>
      <c r="N40" s="17"/>
      <c r="O40" s="17" t="s">
        <v>60</v>
      </c>
    </row>
    <row r="41" spans="1:18" ht="13.8">
      <c r="A41" s="21" t="s">
        <v>78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83</v>
      </c>
      <c r="I41" s="23"/>
      <c r="J41" s="23" t="s">
        <v>91</v>
      </c>
      <c r="K41" s="23" t="s">
        <v>81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8" ht="14.4">
      <c r="A42" s="15"/>
      <c r="B42" s="187" t="s">
        <v>92</v>
      </c>
      <c r="C42" s="188"/>
      <c r="D42" s="77" t="s">
        <v>93</v>
      </c>
      <c r="E42" s="190" t="s">
        <v>94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8"/>
    </row>
    <row r="43" spans="1:18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8" ht="13.8">
      <c r="A44" s="15" t="s">
        <v>37</v>
      </c>
      <c r="B44" s="74">
        <v>1448.5</v>
      </c>
      <c r="C44" s="74">
        <v>1381.4</v>
      </c>
      <c r="D44" s="74">
        <f>F44*1000/C44</f>
        <v>4011.7069639496162</v>
      </c>
      <c r="E44" s="74">
        <v>2360.2570000000001</v>
      </c>
      <c r="F44" s="74">
        <v>5541.7719999999999</v>
      </c>
      <c r="G44" s="119">
        <v>102.91</v>
      </c>
      <c r="H44" s="74">
        <f>SUM(E44:G44)</f>
        <v>8004.9390000000003</v>
      </c>
      <c r="I44" s="74"/>
      <c r="J44" s="74">
        <v>3201.4</v>
      </c>
      <c r="K44" s="74">
        <v>794.7</v>
      </c>
      <c r="L44" s="119">
        <f>N44-J44-K44-M44</f>
        <v>780.54099999999971</v>
      </c>
      <c r="M44" s="119">
        <v>1195.93</v>
      </c>
      <c r="N44" s="74">
        <f>H44-O44</f>
        <v>5972.5709999999999</v>
      </c>
      <c r="O44" s="74">
        <v>2032.3679999999999</v>
      </c>
      <c r="P44" s="123"/>
      <c r="Q44" s="123"/>
    </row>
    <row r="45" spans="1:18" ht="16.2">
      <c r="A45" s="15" t="s">
        <v>155</v>
      </c>
      <c r="B45" s="74">
        <v>1645</v>
      </c>
      <c r="C45" s="74">
        <v>1574</v>
      </c>
      <c r="D45" s="74">
        <f>F45*1000/C45</f>
        <v>3742.0711562897077</v>
      </c>
      <c r="E45" s="74">
        <f>O44</f>
        <v>2032.3679999999999</v>
      </c>
      <c r="F45" s="74">
        <v>5890.02</v>
      </c>
      <c r="G45" s="119">
        <v>100</v>
      </c>
      <c r="H45" s="74">
        <f>SUM(E45:G45)</f>
        <v>8022.3880000000008</v>
      </c>
      <c r="I45" s="74"/>
      <c r="J45" s="74">
        <v>3114</v>
      </c>
      <c r="K45" s="74">
        <v>675</v>
      </c>
      <c r="L45" s="119">
        <v>741.375</v>
      </c>
      <c r="M45" s="119">
        <v>1500</v>
      </c>
      <c r="N45" s="74">
        <f>SUM(J45:M45)</f>
        <v>6030.375</v>
      </c>
      <c r="O45" s="74">
        <f>H45-N45</f>
        <v>1992.0130000000008</v>
      </c>
      <c r="P45" s="123"/>
      <c r="Q45" s="123"/>
    </row>
    <row r="46" spans="1:18" ht="16.2">
      <c r="A46" s="14" t="s">
        <v>156</v>
      </c>
      <c r="B46" s="177">
        <v>1651</v>
      </c>
      <c r="C46" s="177">
        <v>1584.96</v>
      </c>
      <c r="D46" s="177">
        <v>4000</v>
      </c>
      <c r="E46" s="177">
        <f>O45</f>
        <v>1992.0130000000008</v>
      </c>
      <c r="F46" s="177">
        <f>C46*D46/1000</f>
        <v>6339.84</v>
      </c>
      <c r="G46" s="180">
        <v>100</v>
      </c>
      <c r="H46" s="177">
        <f>SUM(E46:G46)</f>
        <v>8431.853000000001</v>
      </c>
      <c r="I46" s="177"/>
      <c r="J46" s="177">
        <v>3194</v>
      </c>
      <c r="K46" s="177">
        <v>875</v>
      </c>
      <c r="L46" s="180">
        <v>782</v>
      </c>
      <c r="M46" s="180">
        <v>1300</v>
      </c>
      <c r="N46" s="177">
        <f>SUM(J46:M46)</f>
        <v>6151</v>
      </c>
      <c r="O46" s="177">
        <f>H46-N46</f>
        <v>2280.853000000001</v>
      </c>
      <c r="P46" s="123"/>
      <c r="Q46" s="123"/>
    </row>
    <row r="47" spans="1:18" ht="16.2">
      <c r="A47" s="42" t="s">
        <v>85</v>
      </c>
      <c r="B47" s="15"/>
      <c r="C47" s="73"/>
      <c r="D47" s="73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</row>
    <row r="48" spans="1:18" ht="14.4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78">
        <f>Contents!A16</f>
        <v>45457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79"/>
      <c r="B51" s="80"/>
      <c r="C51" s="80"/>
      <c r="D51" s="80"/>
      <c r="E51" s="80"/>
      <c r="F51" s="80"/>
      <c r="G51" s="80"/>
      <c r="H51" s="80"/>
      <c r="I51" s="80"/>
      <c r="J51" s="93"/>
      <c r="K51" s="80"/>
      <c r="L51" s="80"/>
      <c r="M51" s="80"/>
      <c r="N51" s="80"/>
      <c r="O51" s="80"/>
    </row>
    <row r="52" spans="1:15" ht="15.6">
      <c r="G52" s="63"/>
      <c r="H52" s="63"/>
    </row>
    <row r="53" spans="1:15" ht="15.6">
      <c r="G53" s="63"/>
      <c r="H53" s="63"/>
    </row>
    <row r="54" spans="1:15" ht="15.6">
      <c r="G54" s="63"/>
      <c r="H54" s="63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45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7"/>
  <sheetViews>
    <sheetView showGridLines="0" zoomScale="70" zoomScaleNormal="70" workbookViewId="0">
      <pane xSplit="1" ySplit="4" topLeftCell="B16" activePane="bottomRight" state="frozen"/>
      <selection activeCell="F62" sqref="F62"/>
      <selection pane="topRight" activeCell="F62" sqref="F62"/>
      <selection pane="bottomLeft" activeCell="F62" sqref="F62"/>
      <selection pane="bottomRight"/>
    </sheetView>
  </sheetViews>
  <sheetFormatPr defaultColWidth="9.109375" defaultRowHeight="13.2"/>
  <cols>
    <col min="1" max="1" width="11.5546875" customWidth="1"/>
    <col min="2" max="2" width="18.88671875" bestFit="1" customWidth="1"/>
    <col min="3" max="3" width="22.109375" bestFit="1" customWidth="1"/>
    <col min="4" max="4" width="24.5546875" customWidth="1"/>
    <col min="5" max="5" width="25.44140625" customWidth="1"/>
    <col min="6" max="6" width="16.554687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10" ht="15.6" customHeight="1">
      <c r="A3" s="14" t="s">
        <v>103</v>
      </c>
      <c r="B3" s="24"/>
      <c r="C3" s="46"/>
      <c r="D3" s="46"/>
      <c r="E3" s="46"/>
      <c r="F3" s="46"/>
      <c r="G3" s="46"/>
    </row>
    <row r="4" spans="1:10" ht="14.4">
      <c r="A4" s="47"/>
      <c r="B4" s="48" t="s">
        <v>104</v>
      </c>
      <c r="C4" s="48" t="s">
        <v>105</v>
      </c>
      <c r="D4" s="48" t="s">
        <v>106</v>
      </c>
      <c r="E4" s="48" t="s">
        <v>106</v>
      </c>
      <c r="F4" s="48" t="s">
        <v>107</v>
      </c>
      <c r="G4" s="48" t="s">
        <v>104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108</v>
      </c>
      <c r="B6" s="49">
        <v>11.3</v>
      </c>
      <c r="C6" s="49">
        <v>161</v>
      </c>
      <c r="D6" s="49">
        <v>23.3</v>
      </c>
      <c r="E6" s="49">
        <v>19.3</v>
      </c>
      <c r="F6" s="49">
        <v>22.5</v>
      </c>
      <c r="G6" s="49">
        <v>12.2</v>
      </c>
      <c r="J6" s="64"/>
    </row>
    <row r="7" spans="1:10" ht="13.8">
      <c r="A7" s="15" t="s">
        <v>109</v>
      </c>
      <c r="B7" s="49">
        <v>12.5</v>
      </c>
      <c r="C7" s="49">
        <v>260</v>
      </c>
      <c r="D7" s="49">
        <v>29.1</v>
      </c>
      <c r="E7" s="49">
        <v>24</v>
      </c>
      <c r="F7" s="49">
        <v>31.8</v>
      </c>
      <c r="G7" s="49">
        <v>13.9</v>
      </c>
      <c r="J7" s="64"/>
    </row>
    <row r="8" spans="1:10" ht="13.8">
      <c r="A8" s="15" t="s">
        <v>110</v>
      </c>
      <c r="B8" s="49">
        <v>14.4</v>
      </c>
      <c r="C8" s="49">
        <v>252</v>
      </c>
      <c r="D8" s="49">
        <v>25.4</v>
      </c>
      <c r="E8" s="49">
        <v>26.5</v>
      </c>
      <c r="F8" s="49">
        <v>30.1</v>
      </c>
      <c r="G8" s="49">
        <v>13.8</v>
      </c>
      <c r="J8" s="64"/>
    </row>
    <row r="9" spans="1:10" ht="13.8">
      <c r="A9" s="15" t="s">
        <v>111</v>
      </c>
      <c r="B9" s="49">
        <v>13</v>
      </c>
      <c r="C9" s="49">
        <v>246</v>
      </c>
      <c r="D9" s="49">
        <v>21.4</v>
      </c>
      <c r="E9" s="49">
        <v>20.6</v>
      </c>
      <c r="F9" s="49">
        <v>24.9</v>
      </c>
      <c r="G9" s="49">
        <v>13.8</v>
      </c>
      <c r="J9" s="64"/>
    </row>
    <row r="10" spans="1:10" ht="13.8">
      <c r="A10" s="15" t="s">
        <v>112</v>
      </c>
      <c r="B10" s="49">
        <v>10.1</v>
      </c>
      <c r="C10" s="49">
        <v>194</v>
      </c>
      <c r="D10" s="49">
        <v>21.7</v>
      </c>
      <c r="E10" s="49">
        <v>16.899999999999999</v>
      </c>
      <c r="F10" s="49">
        <v>22</v>
      </c>
      <c r="G10" s="49">
        <v>11.8</v>
      </c>
      <c r="J10" s="64"/>
    </row>
    <row r="11" spans="1:10" ht="13.8">
      <c r="A11" s="15" t="s">
        <v>113</v>
      </c>
      <c r="B11" s="49">
        <v>8.9499999999999993</v>
      </c>
      <c r="C11" s="49">
        <v>227</v>
      </c>
      <c r="D11" s="49">
        <v>19.600000000000001</v>
      </c>
      <c r="E11" s="49">
        <v>15.6</v>
      </c>
      <c r="F11" s="49">
        <v>19.3</v>
      </c>
      <c r="G11" s="49">
        <v>8.9499999999999993</v>
      </c>
      <c r="J11" s="64"/>
    </row>
    <row r="12" spans="1:10" ht="13.8">
      <c r="A12" s="15" t="s">
        <v>114</v>
      </c>
      <c r="B12" s="49">
        <v>9.4700000000000006</v>
      </c>
      <c r="C12" s="49">
        <v>195</v>
      </c>
      <c r="D12" s="49">
        <v>17.399999999999999</v>
      </c>
      <c r="E12" s="49">
        <v>16.600000000000001</v>
      </c>
      <c r="F12" s="49">
        <v>19.7</v>
      </c>
      <c r="G12" s="49">
        <v>8</v>
      </c>
      <c r="J12" s="64"/>
    </row>
    <row r="13" spans="1:10" ht="13.8">
      <c r="A13" s="15" t="s">
        <v>115</v>
      </c>
      <c r="B13" s="49">
        <v>9.33</v>
      </c>
      <c r="C13" s="49">
        <v>142</v>
      </c>
      <c r="D13" s="49">
        <v>17.2</v>
      </c>
      <c r="E13" s="49">
        <v>17.5</v>
      </c>
      <c r="F13" s="49">
        <v>22.9</v>
      </c>
      <c r="G13" s="49">
        <v>9.5299999999999994</v>
      </c>
      <c r="J13" s="64"/>
    </row>
    <row r="14" spans="1:10" ht="13.8">
      <c r="A14" s="15" t="s">
        <v>116</v>
      </c>
      <c r="B14" s="49">
        <v>8.48</v>
      </c>
      <c r="C14" s="49">
        <v>155</v>
      </c>
      <c r="D14" s="49">
        <v>17.399999999999999</v>
      </c>
      <c r="E14" s="49">
        <v>15.8</v>
      </c>
      <c r="F14" s="49">
        <v>21.5</v>
      </c>
      <c r="G14" s="49">
        <v>9.89</v>
      </c>
      <c r="J14" s="64"/>
    </row>
    <row r="15" spans="1:10" ht="13.8">
      <c r="A15" s="15" t="s">
        <v>117</v>
      </c>
      <c r="B15" s="49">
        <v>8.57</v>
      </c>
      <c r="C15" s="49">
        <v>161</v>
      </c>
      <c r="D15" s="49">
        <v>19.5</v>
      </c>
      <c r="E15" s="49">
        <v>14.8</v>
      </c>
      <c r="F15" s="49">
        <v>20.5</v>
      </c>
      <c r="G15" s="49">
        <v>9.15</v>
      </c>
      <c r="J15" s="64"/>
    </row>
    <row r="16" spans="1:10" ht="13.8">
      <c r="A16" s="15" t="s">
        <v>118</v>
      </c>
      <c r="B16" s="49">
        <v>10.8</v>
      </c>
      <c r="C16" s="49">
        <v>194</v>
      </c>
      <c r="D16" s="49">
        <v>21.3</v>
      </c>
      <c r="E16" s="49">
        <v>18.400000000000002</v>
      </c>
      <c r="F16" s="49">
        <v>21</v>
      </c>
      <c r="G16" s="49">
        <v>11.1</v>
      </c>
      <c r="J16" s="64"/>
    </row>
    <row r="17" spans="1:10" ht="13.8">
      <c r="A17" s="15" t="s">
        <v>34</v>
      </c>
      <c r="B17" s="49">
        <v>13.3</v>
      </c>
      <c r="C17" s="49">
        <v>243</v>
      </c>
      <c r="D17" s="95">
        <v>32.9</v>
      </c>
      <c r="E17" s="49">
        <v>32.9</v>
      </c>
      <c r="F17" s="49">
        <v>24.3</v>
      </c>
      <c r="G17" s="49">
        <v>25.9</v>
      </c>
      <c r="J17" s="64"/>
    </row>
    <row r="18" spans="1:10" ht="13.8">
      <c r="A18" s="15" t="s">
        <v>37</v>
      </c>
      <c r="B18" s="49">
        <v>14.2</v>
      </c>
      <c r="C18" s="95">
        <v>306</v>
      </c>
      <c r="D18" s="49">
        <v>27.8</v>
      </c>
      <c r="E18" s="49">
        <v>29.8</v>
      </c>
      <c r="F18" s="49">
        <v>26.8</v>
      </c>
      <c r="G18" s="95">
        <v>17.5</v>
      </c>
      <c r="H18" s="106"/>
      <c r="J18" s="64"/>
    </row>
    <row r="19" spans="1:10" ht="16.2">
      <c r="A19" s="15" t="s">
        <v>119</v>
      </c>
      <c r="B19" s="49">
        <v>12.55</v>
      </c>
      <c r="C19" s="49">
        <v>211</v>
      </c>
      <c r="D19" s="95">
        <v>20.399999999999999</v>
      </c>
      <c r="E19" s="49">
        <v>24.4</v>
      </c>
      <c r="F19" s="49">
        <v>27</v>
      </c>
      <c r="G19" s="95">
        <v>12.25</v>
      </c>
      <c r="H19" s="106"/>
      <c r="J19" s="64"/>
    </row>
    <row r="20" spans="1:10" ht="16.2">
      <c r="A20" s="15" t="s">
        <v>154</v>
      </c>
      <c r="B20" s="49">
        <v>11.2</v>
      </c>
      <c r="C20" s="49">
        <v>205</v>
      </c>
      <c r="D20" s="95">
        <v>21</v>
      </c>
      <c r="E20" s="49">
        <v>22</v>
      </c>
      <c r="F20" s="49">
        <v>25.5</v>
      </c>
      <c r="G20" s="95">
        <v>13.496000000000002</v>
      </c>
      <c r="H20" s="106"/>
      <c r="J20" s="64"/>
    </row>
    <row r="21" spans="1:10" ht="13.8">
      <c r="A21" s="15"/>
      <c r="B21" s="50"/>
      <c r="C21" s="51"/>
      <c r="D21" s="52"/>
      <c r="E21" s="52"/>
      <c r="F21" s="51"/>
      <c r="G21" s="53"/>
      <c r="H21" s="43"/>
      <c r="J21" s="64"/>
    </row>
    <row r="22" spans="1:10" ht="13.8">
      <c r="A22" s="54" t="s">
        <v>37</v>
      </c>
      <c r="B22" s="49"/>
      <c r="C22" s="49"/>
      <c r="D22" s="49"/>
      <c r="E22" s="49"/>
      <c r="F22" s="49"/>
      <c r="G22" s="49"/>
    </row>
    <row r="23" spans="1:10" ht="13.8">
      <c r="A23" s="15" t="s">
        <v>38</v>
      </c>
      <c r="B23" s="95">
        <v>14.2</v>
      </c>
      <c r="C23" s="49">
        <v>316</v>
      </c>
      <c r="D23" s="49">
        <v>32.9</v>
      </c>
      <c r="E23" s="49">
        <v>28.1</v>
      </c>
      <c r="F23" s="49">
        <v>25.6</v>
      </c>
      <c r="G23" s="49">
        <v>18.899999999999999</v>
      </c>
    </row>
    <row r="24" spans="1:10" ht="13.8">
      <c r="A24" s="15" t="s">
        <v>39</v>
      </c>
      <c r="B24" s="49">
        <v>13.5</v>
      </c>
      <c r="C24" s="49">
        <v>340</v>
      </c>
      <c r="D24" s="49">
        <v>29.3</v>
      </c>
      <c r="E24" s="49">
        <v>28.1</v>
      </c>
      <c r="F24" s="49">
        <v>26.400000000000002</v>
      </c>
      <c r="G24" s="49">
        <v>18.600000000000001</v>
      </c>
    </row>
    <row r="25" spans="1:10" ht="13.8">
      <c r="A25" s="15" t="s">
        <v>40</v>
      </c>
      <c r="B25" s="49">
        <v>14</v>
      </c>
      <c r="C25" s="49">
        <v>281</v>
      </c>
      <c r="D25" s="49">
        <v>28.4</v>
      </c>
      <c r="E25" s="49">
        <v>29.2</v>
      </c>
      <c r="F25" s="49">
        <v>28.799999999999997</v>
      </c>
      <c r="G25" s="49">
        <v>19.5</v>
      </c>
    </row>
    <row r="26" spans="1:10" ht="13.8">
      <c r="A26" s="15" t="s">
        <v>42</v>
      </c>
      <c r="B26" s="49">
        <v>14.4</v>
      </c>
      <c r="C26" s="49">
        <v>315</v>
      </c>
      <c r="D26" s="49">
        <v>29.5</v>
      </c>
      <c r="E26" s="49">
        <v>29.2</v>
      </c>
      <c r="F26" s="49">
        <v>24.5</v>
      </c>
      <c r="G26" s="49">
        <v>18.3</v>
      </c>
    </row>
    <row r="27" spans="1:10" ht="13.8">
      <c r="A27" s="15" t="s">
        <v>43</v>
      </c>
      <c r="B27" s="49">
        <v>14.5</v>
      </c>
      <c r="C27" s="49">
        <v>273</v>
      </c>
      <c r="D27" s="49">
        <v>29</v>
      </c>
      <c r="E27" s="49">
        <v>30.1</v>
      </c>
      <c r="F27" s="49">
        <v>27.700000000000003</v>
      </c>
      <c r="G27" s="49">
        <v>17.7</v>
      </c>
    </row>
    <row r="28" spans="1:10" ht="13.8">
      <c r="A28" s="15" t="s">
        <v>44</v>
      </c>
      <c r="B28" s="49">
        <v>15.1</v>
      </c>
      <c r="C28" s="49">
        <v>223</v>
      </c>
      <c r="D28" s="49">
        <v>29.9</v>
      </c>
      <c r="E28" s="49">
        <v>31.7</v>
      </c>
      <c r="F28" s="49">
        <v>27</v>
      </c>
      <c r="G28" s="49">
        <v>15.4</v>
      </c>
    </row>
    <row r="29" spans="1:10" ht="13.8">
      <c r="A29" s="15" t="s">
        <v>46</v>
      </c>
      <c r="B29" s="49">
        <v>14.9</v>
      </c>
      <c r="C29" s="49" t="s">
        <v>76</v>
      </c>
      <c r="D29" s="49">
        <v>27.5</v>
      </c>
      <c r="E29" s="49">
        <v>29.8</v>
      </c>
      <c r="F29" s="49">
        <v>26.700000000000003</v>
      </c>
      <c r="G29" s="49">
        <v>14.8</v>
      </c>
    </row>
    <row r="30" spans="1:10" ht="13.8">
      <c r="A30" s="15" t="s">
        <v>47</v>
      </c>
      <c r="B30" s="49">
        <v>14.9</v>
      </c>
      <c r="C30" s="49" t="s">
        <v>76</v>
      </c>
      <c r="D30" s="49">
        <v>26.9</v>
      </c>
      <c r="E30" s="49">
        <v>26.8</v>
      </c>
      <c r="F30" s="49">
        <v>27.200000000000003</v>
      </c>
      <c r="G30" s="49">
        <v>12.1</v>
      </c>
    </row>
    <row r="31" spans="1:10" ht="13.8">
      <c r="A31" s="15" t="s">
        <v>48</v>
      </c>
      <c r="B31" s="49">
        <v>14.4</v>
      </c>
      <c r="C31" s="49" t="s">
        <v>76</v>
      </c>
      <c r="D31" s="49">
        <v>24.9</v>
      </c>
      <c r="E31" s="49">
        <v>25.2</v>
      </c>
      <c r="F31" s="49">
        <v>27.700000000000003</v>
      </c>
      <c r="G31" s="49">
        <v>12.5</v>
      </c>
    </row>
    <row r="32" spans="1:10" ht="13.8">
      <c r="A32" s="15" t="s">
        <v>50</v>
      </c>
      <c r="B32" s="49">
        <v>14.2</v>
      </c>
      <c r="C32" s="49" t="s">
        <v>76</v>
      </c>
      <c r="D32" s="49">
        <v>23.6</v>
      </c>
      <c r="E32" s="49">
        <v>27.3</v>
      </c>
      <c r="F32" s="49">
        <v>27.900000000000002</v>
      </c>
      <c r="G32" s="49">
        <v>13.1</v>
      </c>
    </row>
    <row r="33" spans="1:7" ht="13.8">
      <c r="A33" s="15" t="s">
        <v>51</v>
      </c>
      <c r="B33" s="49">
        <v>14.7</v>
      </c>
      <c r="C33" s="49" t="s">
        <v>76</v>
      </c>
      <c r="D33" s="49">
        <v>25</v>
      </c>
      <c r="E33" s="49">
        <v>27.2</v>
      </c>
      <c r="F33" s="49">
        <v>27.700000000000003</v>
      </c>
      <c r="G33" s="49">
        <v>11</v>
      </c>
    </row>
    <row r="34" spans="1:7" ht="13.8">
      <c r="A34" s="15" t="s">
        <v>52</v>
      </c>
      <c r="B34" s="49">
        <v>14.1</v>
      </c>
      <c r="C34" s="49">
        <v>219</v>
      </c>
      <c r="D34" s="49">
        <v>23.6</v>
      </c>
      <c r="E34" s="49">
        <v>28.1</v>
      </c>
      <c r="F34" s="49">
        <v>27.1</v>
      </c>
      <c r="G34" s="49">
        <v>11.2</v>
      </c>
    </row>
    <row r="35" spans="1:7" ht="13.8">
      <c r="A35" s="15"/>
      <c r="B35" s="49"/>
      <c r="C35" s="49"/>
      <c r="D35" s="49"/>
      <c r="E35" s="49"/>
      <c r="F35" s="49"/>
      <c r="G35" s="49"/>
    </row>
    <row r="36" spans="1:7" ht="13.8">
      <c r="A36" s="54" t="s">
        <v>54</v>
      </c>
      <c r="B36" s="49"/>
      <c r="C36" s="49"/>
      <c r="D36" s="49"/>
      <c r="E36" s="49"/>
      <c r="F36" s="49"/>
      <c r="G36" s="49"/>
    </row>
    <row r="37" spans="1:7" ht="13.8">
      <c r="A37" s="15" t="s">
        <v>38</v>
      </c>
      <c r="B37" s="49">
        <v>13.2</v>
      </c>
      <c r="C37" s="49">
        <v>242</v>
      </c>
      <c r="D37" s="49">
        <v>24</v>
      </c>
      <c r="E37" s="49">
        <v>25.1</v>
      </c>
      <c r="F37" s="49">
        <v>26.7</v>
      </c>
      <c r="G37" s="49">
        <v>12</v>
      </c>
    </row>
    <row r="38" spans="1:7" ht="13.8">
      <c r="A38" s="15" t="s">
        <v>39</v>
      </c>
      <c r="B38" s="49">
        <v>12.7</v>
      </c>
      <c r="C38" s="49">
        <v>233</v>
      </c>
      <c r="D38" s="49">
        <v>20.100000000000001</v>
      </c>
      <c r="E38" s="49">
        <v>23.6</v>
      </c>
      <c r="F38" s="49">
        <v>26.7</v>
      </c>
      <c r="G38" s="49">
        <v>13</v>
      </c>
    </row>
    <row r="39" spans="1:7" ht="13.8">
      <c r="A39" s="15" t="s">
        <v>40</v>
      </c>
      <c r="B39" s="49">
        <v>13</v>
      </c>
      <c r="C39" s="49">
        <v>226</v>
      </c>
      <c r="D39" s="49">
        <v>22.6</v>
      </c>
      <c r="E39" s="49">
        <v>25.5</v>
      </c>
      <c r="F39" s="49">
        <v>29.5</v>
      </c>
      <c r="G39" s="49">
        <v>12.2</v>
      </c>
    </row>
    <row r="40" spans="1:7" ht="13.8">
      <c r="A40" s="15" t="s">
        <v>42</v>
      </c>
      <c r="B40" s="49">
        <v>13.1</v>
      </c>
      <c r="C40" s="49">
        <v>209</v>
      </c>
      <c r="D40" s="49">
        <v>24.2</v>
      </c>
      <c r="E40" s="49">
        <v>24.2</v>
      </c>
      <c r="F40" s="49">
        <v>24.3</v>
      </c>
      <c r="G40" s="49">
        <v>13.4</v>
      </c>
    </row>
    <row r="41" spans="1:7" ht="13.8">
      <c r="A41" s="15" t="s">
        <v>43</v>
      </c>
      <c r="B41" s="49">
        <v>12.8</v>
      </c>
      <c r="C41" s="49">
        <v>174</v>
      </c>
      <c r="D41" s="49">
        <v>21.3</v>
      </c>
      <c r="E41" s="49">
        <v>24.4</v>
      </c>
      <c r="F41" s="49">
        <v>27.1</v>
      </c>
      <c r="G41" s="49">
        <v>12.1</v>
      </c>
    </row>
    <row r="42" spans="1:7" ht="13.8">
      <c r="A42" s="15" t="s">
        <v>44</v>
      </c>
      <c r="B42" s="49">
        <v>11.9</v>
      </c>
      <c r="C42" s="49">
        <v>177</v>
      </c>
      <c r="D42" s="49">
        <v>22.4</v>
      </c>
      <c r="E42" s="49">
        <v>22.6</v>
      </c>
      <c r="F42" s="49">
        <v>26.4</v>
      </c>
      <c r="G42" s="49">
        <v>12.3</v>
      </c>
    </row>
    <row r="43" spans="1:7" ht="13.8">
      <c r="A43" s="15" t="s">
        <v>46</v>
      </c>
      <c r="B43" s="49">
        <v>11.8</v>
      </c>
      <c r="C43" s="49" t="s">
        <v>76</v>
      </c>
      <c r="D43" s="49">
        <v>22.5</v>
      </c>
      <c r="E43" s="49">
        <v>21.6</v>
      </c>
      <c r="F43" s="49">
        <v>27</v>
      </c>
      <c r="G43" s="49">
        <v>11.5</v>
      </c>
    </row>
    <row r="44" spans="1:7" ht="13.8">
      <c r="A44" s="15" t="s">
        <v>47</v>
      </c>
      <c r="B44" s="49">
        <v>11.8</v>
      </c>
      <c r="C44" s="49" t="s">
        <v>76</v>
      </c>
      <c r="D44" s="49">
        <v>20</v>
      </c>
      <c r="E44" s="49">
        <v>21.9</v>
      </c>
      <c r="F44" s="49">
        <v>27.2</v>
      </c>
      <c r="G44" s="49">
        <v>12.1</v>
      </c>
    </row>
    <row r="45" spans="1:7" ht="16.2">
      <c r="A45" s="72" t="s">
        <v>120</v>
      </c>
      <c r="B45" s="72"/>
      <c r="C45" s="72"/>
      <c r="D45" s="72"/>
      <c r="E45" s="72"/>
      <c r="F45" s="72"/>
      <c r="G45" s="72"/>
    </row>
    <row r="46" spans="1:7" ht="14.4">
      <c r="A46" s="15" t="s">
        <v>121</v>
      </c>
      <c r="B46" s="15"/>
      <c r="C46" s="15"/>
      <c r="D46" s="15"/>
      <c r="E46" s="15"/>
      <c r="F46" s="15"/>
      <c r="G46" s="15"/>
    </row>
    <row r="47" spans="1:7" ht="13.8">
      <c r="A47" s="20" t="s">
        <v>57</v>
      </c>
      <c r="B47" s="37">
        <f>Contents!A16</f>
        <v>45457</v>
      </c>
      <c r="C47" s="15"/>
      <c r="D47" s="15"/>
      <c r="E47" s="15"/>
      <c r="F47" s="15"/>
      <c r="G47" s="15"/>
    </row>
  </sheetData>
  <phoneticPr fontId="45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8"/>
  <sheetViews>
    <sheetView showGridLines="0" zoomScale="70" zoomScaleNormal="70" workbookViewId="0">
      <pane xSplit="1" ySplit="4" topLeftCell="B14" activePane="bottomRight" state="frozen"/>
      <selection activeCell="D37" sqref="D37:D44"/>
      <selection pane="topRight" activeCell="D37" sqref="D37:D44"/>
      <selection pane="bottomLeft" activeCell="D37" sqref="D37:D44"/>
      <selection pane="bottomRight"/>
    </sheetView>
  </sheetViews>
  <sheetFormatPr defaultColWidth="9.109375" defaultRowHeight="13.2"/>
  <cols>
    <col min="1" max="3" width="11.5546875" customWidth="1"/>
    <col min="4" max="4" width="13.5546875" customWidth="1"/>
    <col min="5" max="5" width="11.5546875" customWidth="1"/>
    <col min="6" max="6" width="11.5546875" bestFit="1" customWidth="1"/>
    <col min="7" max="7" width="13.33203125" customWidth="1"/>
    <col min="8" max="8" width="12" customWidth="1"/>
    <col min="9" max="9" width="13.44140625" customWidth="1"/>
  </cols>
  <sheetData>
    <row r="1" spans="1:13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5" t="s">
        <v>96</v>
      </c>
      <c r="B2" s="17" t="s">
        <v>122</v>
      </c>
      <c r="C2" s="17" t="s">
        <v>123</v>
      </c>
      <c r="D2" s="17" t="s">
        <v>124</v>
      </c>
      <c r="E2" s="56" t="s">
        <v>125</v>
      </c>
      <c r="F2" s="56" t="s">
        <v>126</v>
      </c>
      <c r="G2" s="17" t="s">
        <v>127</v>
      </c>
      <c r="H2" s="17" t="s">
        <v>128</v>
      </c>
      <c r="I2" s="57" t="s">
        <v>129</v>
      </c>
      <c r="K2" s="17"/>
      <c r="L2" s="17"/>
    </row>
    <row r="3" spans="1:13" ht="15.6" customHeight="1">
      <c r="A3" s="58" t="s">
        <v>103</v>
      </c>
      <c r="B3" s="23" t="s">
        <v>130</v>
      </c>
      <c r="C3" s="23" t="s">
        <v>131</v>
      </c>
      <c r="D3" s="23" t="s">
        <v>132</v>
      </c>
      <c r="E3" s="23" t="s">
        <v>132</v>
      </c>
      <c r="F3" s="23" t="s">
        <v>133</v>
      </c>
      <c r="G3" s="23" t="s">
        <v>134</v>
      </c>
      <c r="H3" s="23"/>
      <c r="I3" s="23" t="s">
        <v>135</v>
      </c>
    </row>
    <row r="4" spans="1:13" ht="14.4">
      <c r="A4" s="59" t="s">
        <v>136</v>
      </c>
      <c r="C4" s="60"/>
      <c r="D4" s="60"/>
      <c r="E4" s="60"/>
      <c r="F4" s="60"/>
      <c r="G4" s="60"/>
      <c r="H4" s="60"/>
      <c r="I4" s="60"/>
    </row>
    <row r="5" spans="1:13" ht="13.8">
      <c r="A5" s="15"/>
      <c r="B5" s="15"/>
      <c r="C5" s="15"/>
      <c r="D5" s="15"/>
      <c r="E5" s="15"/>
      <c r="F5" s="15"/>
      <c r="G5" s="15"/>
      <c r="H5" s="15"/>
      <c r="I5" s="15"/>
      <c r="K5" s="64"/>
    </row>
    <row r="6" spans="1:13" ht="13.8">
      <c r="A6" s="15" t="s">
        <v>108</v>
      </c>
      <c r="B6" s="49">
        <v>53.2</v>
      </c>
      <c r="C6" s="49">
        <v>54.5</v>
      </c>
      <c r="D6" s="49">
        <v>86.12</v>
      </c>
      <c r="E6" s="49">
        <v>58.68</v>
      </c>
      <c r="F6" s="49">
        <v>77.239999999999995</v>
      </c>
      <c r="G6" s="49">
        <v>60.76</v>
      </c>
      <c r="H6" s="49">
        <v>51.52</v>
      </c>
      <c r="I6" s="49">
        <v>51.34</v>
      </c>
      <c r="K6" s="64"/>
      <c r="L6" s="64"/>
      <c r="M6" s="64"/>
    </row>
    <row r="7" spans="1:13" ht="13.8">
      <c r="A7" s="15" t="s">
        <v>109</v>
      </c>
      <c r="B7" s="49">
        <v>51.9</v>
      </c>
      <c r="C7" s="49">
        <v>53.22</v>
      </c>
      <c r="D7" s="49">
        <v>83.2</v>
      </c>
      <c r="E7" s="49">
        <v>57.19</v>
      </c>
      <c r="F7" s="49">
        <v>100.15</v>
      </c>
      <c r="G7" s="49">
        <v>56.09</v>
      </c>
      <c r="H7" s="49">
        <v>48.11</v>
      </c>
      <c r="I7" s="49">
        <v>50.33</v>
      </c>
      <c r="K7" s="64"/>
      <c r="L7" s="64"/>
      <c r="M7" s="64"/>
    </row>
    <row r="8" spans="1:13" ht="13.8">
      <c r="A8" s="15" t="s">
        <v>110</v>
      </c>
      <c r="B8" s="49">
        <v>47.13</v>
      </c>
      <c r="C8" s="49">
        <v>48.6</v>
      </c>
      <c r="D8" s="49">
        <v>65.87</v>
      </c>
      <c r="E8" s="49">
        <v>56.17</v>
      </c>
      <c r="F8" s="49">
        <v>91.83</v>
      </c>
      <c r="G8" s="49">
        <v>46.66</v>
      </c>
      <c r="H8" s="49">
        <v>51.8</v>
      </c>
      <c r="I8" s="49">
        <v>43.24</v>
      </c>
      <c r="K8" s="64"/>
      <c r="L8" s="64"/>
      <c r="M8" s="64"/>
    </row>
    <row r="9" spans="1:13" ht="13.8">
      <c r="A9" s="15" t="s">
        <v>111</v>
      </c>
      <c r="B9" s="49">
        <v>38.229999999999997</v>
      </c>
      <c r="C9" s="49">
        <v>60.66</v>
      </c>
      <c r="D9" s="49">
        <v>59.12</v>
      </c>
      <c r="E9" s="49">
        <v>43.7</v>
      </c>
      <c r="F9" s="49">
        <v>68.23</v>
      </c>
      <c r="G9" s="49">
        <v>39.43</v>
      </c>
      <c r="H9" s="49">
        <v>43.93</v>
      </c>
      <c r="I9" s="49">
        <v>39.76</v>
      </c>
      <c r="K9" s="64"/>
      <c r="L9" s="64"/>
      <c r="M9" s="64"/>
    </row>
    <row r="10" spans="1:13" ht="13.8">
      <c r="A10" s="15" t="s">
        <v>112</v>
      </c>
      <c r="B10" s="49">
        <v>31.6</v>
      </c>
      <c r="C10" s="49">
        <v>45.74</v>
      </c>
      <c r="D10" s="49">
        <v>66.72</v>
      </c>
      <c r="E10" s="49">
        <v>37.81</v>
      </c>
      <c r="F10" s="49">
        <v>57.96</v>
      </c>
      <c r="G10" s="49">
        <v>37.479999999999997</v>
      </c>
      <c r="H10" s="49">
        <v>33.43</v>
      </c>
      <c r="I10" s="49">
        <v>31.36</v>
      </c>
      <c r="K10" s="64"/>
      <c r="L10" s="64"/>
      <c r="M10" s="64"/>
    </row>
    <row r="11" spans="1:13" ht="13.8">
      <c r="A11" s="15" t="s">
        <v>113</v>
      </c>
      <c r="B11" s="49">
        <v>29.86</v>
      </c>
      <c r="C11" s="49">
        <v>45.87</v>
      </c>
      <c r="D11" s="49">
        <v>57.81</v>
      </c>
      <c r="E11" s="49">
        <v>35.270000000000003</v>
      </c>
      <c r="F11" s="49">
        <v>58.26</v>
      </c>
      <c r="G11" s="49">
        <v>39.25</v>
      </c>
      <c r="H11" s="49">
        <v>32.229999999999997</v>
      </c>
      <c r="I11" s="49">
        <v>30.07</v>
      </c>
      <c r="K11" s="64"/>
      <c r="L11" s="64"/>
      <c r="M11" s="64"/>
    </row>
    <row r="12" spans="1:13" ht="13.8">
      <c r="A12" s="15" t="s">
        <v>114</v>
      </c>
      <c r="B12" s="49">
        <v>32.549999999999997</v>
      </c>
      <c r="C12" s="49">
        <v>40.92</v>
      </c>
      <c r="D12" s="49">
        <v>53.54</v>
      </c>
      <c r="E12" s="49">
        <v>38.729999999999997</v>
      </c>
      <c r="F12" s="49">
        <v>66.73</v>
      </c>
      <c r="G12" s="49">
        <v>37.43</v>
      </c>
      <c r="H12" s="49">
        <v>33.07</v>
      </c>
      <c r="I12" s="49">
        <v>34.75</v>
      </c>
      <c r="K12" s="64"/>
      <c r="L12" s="64"/>
      <c r="M12" s="64"/>
    </row>
    <row r="13" spans="1:13" ht="13.8">
      <c r="A13" s="15" t="s">
        <v>115</v>
      </c>
      <c r="B13" s="49">
        <v>30.04</v>
      </c>
      <c r="C13" s="49">
        <v>31.87</v>
      </c>
      <c r="D13" s="49">
        <v>54.57</v>
      </c>
      <c r="E13" s="49">
        <v>38.270000000000003</v>
      </c>
      <c r="F13" s="49">
        <v>66.72</v>
      </c>
      <c r="G13" s="49">
        <v>30.35</v>
      </c>
      <c r="H13" s="49">
        <v>34.159999999999997</v>
      </c>
      <c r="I13" s="49">
        <v>31.21</v>
      </c>
      <c r="K13" s="64"/>
      <c r="L13" s="64"/>
      <c r="M13" s="64"/>
    </row>
    <row r="14" spans="1:13" ht="13.8">
      <c r="A14" s="15" t="s">
        <v>116</v>
      </c>
      <c r="B14" s="49">
        <v>28.26</v>
      </c>
      <c r="C14" s="49">
        <v>35.14</v>
      </c>
      <c r="D14" s="49">
        <v>53.28</v>
      </c>
      <c r="E14" s="49">
        <v>36.090000000000003</v>
      </c>
      <c r="F14" s="49">
        <v>64.72</v>
      </c>
      <c r="G14" s="49">
        <v>26.93</v>
      </c>
      <c r="H14" s="49">
        <v>31.65</v>
      </c>
      <c r="I14" s="49">
        <v>33.11</v>
      </c>
      <c r="K14" s="64"/>
      <c r="L14" s="64"/>
      <c r="M14" s="64"/>
    </row>
    <row r="15" spans="1:13" ht="13.8">
      <c r="A15" s="15" t="s">
        <v>117</v>
      </c>
      <c r="B15" s="49">
        <v>29.65</v>
      </c>
      <c r="C15" s="49">
        <v>40.18</v>
      </c>
      <c r="D15" s="49">
        <v>65.03</v>
      </c>
      <c r="E15" s="49">
        <v>37.869999999999997</v>
      </c>
      <c r="F15" s="49">
        <v>62</v>
      </c>
      <c r="G15" s="49">
        <v>39.47</v>
      </c>
      <c r="H15" s="49">
        <v>35.75</v>
      </c>
      <c r="I15" s="49">
        <v>38.369999999999997</v>
      </c>
      <c r="K15" s="64"/>
      <c r="L15" s="64"/>
      <c r="M15" s="64"/>
    </row>
    <row r="16" spans="1:13" ht="13.8">
      <c r="A16" s="15" t="s">
        <v>118</v>
      </c>
      <c r="B16" s="49">
        <v>56.87</v>
      </c>
      <c r="C16" s="49">
        <v>80.94</v>
      </c>
      <c r="D16" s="49">
        <v>79</v>
      </c>
      <c r="E16" s="49">
        <v>70.459999999999994</v>
      </c>
      <c r="F16" s="49">
        <v>101.4</v>
      </c>
      <c r="G16" s="49">
        <v>53.88</v>
      </c>
      <c r="H16" s="49">
        <v>55.89</v>
      </c>
      <c r="I16" s="49">
        <v>54.98</v>
      </c>
      <c r="K16" s="64"/>
      <c r="L16" s="64"/>
      <c r="M16" s="64"/>
    </row>
    <row r="17" spans="1:13" ht="13.8">
      <c r="A17" s="15" t="s">
        <v>34</v>
      </c>
      <c r="B17" s="49">
        <v>72.98</v>
      </c>
      <c r="C17" s="49">
        <v>107.15</v>
      </c>
      <c r="D17" s="49">
        <v>111.39</v>
      </c>
      <c r="E17" s="49">
        <v>90.52</v>
      </c>
      <c r="F17" s="49">
        <v>107.22</v>
      </c>
      <c r="G17" s="49">
        <v>64.28</v>
      </c>
      <c r="H17" s="49">
        <v>82</v>
      </c>
      <c r="I17" s="49">
        <v>81.84</v>
      </c>
      <c r="K17" s="64"/>
      <c r="L17" s="64"/>
      <c r="M17" s="64"/>
    </row>
    <row r="18" spans="1:13" ht="13.8">
      <c r="A18" s="15" t="s">
        <v>37</v>
      </c>
      <c r="B18" s="49">
        <v>65.260000000000005</v>
      </c>
      <c r="C18" s="49">
        <v>102.53</v>
      </c>
      <c r="D18" s="49">
        <v>80.11</v>
      </c>
      <c r="E18" s="49">
        <v>73.14</v>
      </c>
      <c r="F18" s="49">
        <v>93.52</v>
      </c>
      <c r="G18" s="49">
        <v>61.62</v>
      </c>
      <c r="H18" s="49">
        <v>84.25</v>
      </c>
      <c r="I18" s="49">
        <v>76.95</v>
      </c>
      <c r="K18" s="64"/>
      <c r="L18" s="64"/>
      <c r="M18" s="64"/>
    </row>
    <row r="19" spans="1:13" ht="16.2">
      <c r="A19" s="15" t="s">
        <v>137</v>
      </c>
      <c r="B19" s="49">
        <v>48</v>
      </c>
      <c r="C19" s="49">
        <v>80</v>
      </c>
      <c r="D19" s="49">
        <v>58</v>
      </c>
      <c r="E19" s="49">
        <v>55.999999999999986</v>
      </c>
      <c r="F19" s="49">
        <v>76.999999999999986</v>
      </c>
      <c r="G19" s="95" t="s">
        <v>76</v>
      </c>
      <c r="H19" s="95">
        <v>55</v>
      </c>
      <c r="I19" s="95">
        <v>52</v>
      </c>
      <c r="K19" s="64"/>
      <c r="L19" s="64"/>
      <c r="M19" s="64"/>
    </row>
    <row r="20" spans="1:13" ht="16.2">
      <c r="A20" s="15" t="s">
        <v>157</v>
      </c>
      <c r="B20" s="49">
        <v>42</v>
      </c>
      <c r="C20" s="49">
        <v>70</v>
      </c>
      <c r="D20" s="49">
        <v>62</v>
      </c>
      <c r="E20" s="49">
        <v>49</v>
      </c>
      <c r="F20" s="49">
        <v>75</v>
      </c>
      <c r="G20" s="95" t="s">
        <v>76</v>
      </c>
      <c r="H20" s="95">
        <v>51</v>
      </c>
      <c r="I20" s="95">
        <v>46</v>
      </c>
      <c r="K20" s="64"/>
      <c r="L20" s="64"/>
      <c r="M20" s="64"/>
    </row>
    <row r="21" spans="1:13" ht="13.8">
      <c r="A21" s="15"/>
      <c r="B21" s="108"/>
      <c r="C21" s="108"/>
      <c r="D21" s="108"/>
      <c r="E21" s="108"/>
      <c r="F21" s="108"/>
      <c r="G21" s="108"/>
      <c r="H21" s="108"/>
      <c r="I21" s="108"/>
    </row>
    <row r="22" spans="1:13" ht="13.8">
      <c r="A22" s="31" t="s">
        <v>37</v>
      </c>
      <c r="B22" s="49"/>
      <c r="C22" s="49"/>
      <c r="D22" s="49"/>
      <c r="E22" s="49"/>
      <c r="F22" s="49"/>
      <c r="G22" s="49"/>
      <c r="H22" s="49"/>
      <c r="I22" s="49"/>
    </row>
    <row r="23" spans="1:13" ht="13.8">
      <c r="A23" s="15" t="s">
        <v>39</v>
      </c>
      <c r="B23" s="49">
        <v>72.67</v>
      </c>
      <c r="C23" s="49">
        <v>110.1875</v>
      </c>
      <c r="D23" s="49">
        <v>93.75</v>
      </c>
      <c r="E23" s="49">
        <v>80.125</v>
      </c>
      <c r="F23" s="49">
        <v>107.75</v>
      </c>
      <c r="G23" s="49">
        <v>65.412499999999994</v>
      </c>
      <c r="H23" s="49">
        <v>88</v>
      </c>
      <c r="I23" s="49">
        <v>88.5</v>
      </c>
      <c r="K23" s="64"/>
      <c r="M23" s="64"/>
    </row>
    <row r="24" spans="1:13" ht="13.8">
      <c r="A24" s="15" t="s">
        <v>40</v>
      </c>
      <c r="B24" s="49">
        <v>79.180000000000007</v>
      </c>
      <c r="C24" s="49">
        <v>116.6875</v>
      </c>
      <c r="D24" s="49">
        <v>106</v>
      </c>
      <c r="E24" s="49">
        <v>84.375</v>
      </c>
      <c r="F24" s="49">
        <v>111</v>
      </c>
      <c r="G24" s="49">
        <v>69.67</v>
      </c>
      <c r="H24" s="49" t="s">
        <v>76</v>
      </c>
      <c r="I24" s="49">
        <v>88.5</v>
      </c>
      <c r="K24" s="64"/>
      <c r="M24" s="64"/>
    </row>
    <row r="25" spans="1:13" ht="13.8">
      <c r="A25" s="15" t="s">
        <v>42</v>
      </c>
      <c r="B25" s="49">
        <v>68.14</v>
      </c>
      <c r="C25" s="49">
        <v>105.1</v>
      </c>
      <c r="D25" s="49">
        <v>92.3</v>
      </c>
      <c r="E25" s="49">
        <v>74.05</v>
      </c>
      <c r="F25" s="49">
        <v>101</v>
      </c>
      <c r="G25" s="49">
        <v>60</v>
      </c>
      <c r="H25" s="49" t="s">
        <v>76</v>
      </c>
      <c r="I25" s="49">
        <v>84</v>
      </c>
      <c r="K25" s="64"/>
      <c r="M25" s="64"/>
    </row>
    <row r="26" spans="1:13" ht="13.8">
      <c r="A26" s="15" t="s">
        <v>43</v>
      </c>
      <c r="B26" s="49">
        <v>66</v>
      </c>
      <c r="C26" s="49">
        <v>102.1875</v>
      </c>
      <c r="D26" s="49">
        <v>85.75</v>
      </c>
      <c r="E26" s="49">
        <v>71.1875</v>
      </c>
      <c r="F26" s="49">
        <v>95.375</v>
      </c>
      <c r="G26" s="49">
        <v>61</v>
      </c>
      <c r="H26" s="49">
        <v>87</v>
      </c>
      <c r="I26" s="49">
        <v>76.125</v>
      </c>
      <c r="K26" s="64"/>
      <c r="M26" s="64"/>
    </row>
    <row r="27" spans="1:13" ht="13.8">
      <c r="A27" s="15" t="s">
        <v>44</v>
      </c>
      <c r="B27" s="49">
        <v>63.242500000000007</v>
      </c>
      <c r="C27" s="49">
        <v>100</v>
      </c>
      <c r="D27" s="49">
        <v>81.25</v>
      </c>
      <c r="E27" s="49">
        <v>68.25</v>
      </c>
      <c r="F27" s="49">
        <v>88</v>
      </c>
      <c r="G27" s="49" t="s">
        <v>76</v>
      </c>
      <c r="H27" s="49" t="s">
        <v>76</v>
      </c>
      <c r="I27" s="49">
        <v>63.95</v>
      </c>
      <c r="K27" s="64"/>
      <c r="M27" s="64"/>
    </row>
    <row r="28" spans="1:13" ht="13.8">
      <c r="A28" s="15" t="s">
        <v>46</v>
      </c>
      <c r="B28" s="49">
        <v>58.83</v>
      </c>
      <c r="C28" s="49">
        <v>96.55</v>
      </c>
      <c r="D28" s="49">
        <v>76.599999999999994</v>
      </c>
      <c r="E28" s="49">
        <v>64.599999999999994</v>
      </c>
      <c r="F28" s="49">
        <v>84.4</v>
      </c>
      <c r="G28" s="49" t="s">
        <v>76</v>
      </c>
      <c r="H28" s="49" t="s">
        <v>76</v>
      </c>
      <c r="I28" s="49">
        <v>66.25</v>
      </c>
      <c r="K28" s="64"/>
      <c r="M28" s="64"/>
    </row>
    <row r="29" spans="1:13" ht="13.8">
      <c r="A29" s="15" t="s">
        <v>47</v>
      </c>
      <c r="B29" s="49">
        <v>55.474999999999994</v>
      </c>
      <c r="C29" s="49">
        <v>92.5625</v>
      </c>
      <c r="D29" s="49">
        <v>73</v>
      </c>
      <c r="E29" s="49">
        <v>62.625</v>
      </c>
      <c r="F29" s="49">
        <v>81.75</v>
      </c>
      <c r="G29" s="49" t="s">
        <v>76</v>
      </c>
      <c r="H29" s="49">
        <v>82</v>
      </c>
      <c r="I29" s="49" t="s">
        <v>76</v>
      </c>
      <c r="K29" s="64"/>
      <c r="M29" s="64"/>
    </row>
    <row r="30" spans="1:13" ht="13.8">
      <c r="A30" s="15" t="s">
        <v>48</v>
      </c>
      <c r="B30" s="49">
        <v>52.484999999999999</v>
      </c>
      <c r="C30" s="49">
        <v>91.75</v>
      </c>
      <c r="D30" s="49">
        <v>68.625</v>
      </c>
      <c r="E30" s="49">
        <v>62.125</v>
      </c>
      <c r="F30" s="49">
        <v>85.5</v>
      </c>
      <c r="G30" s="49">
        <v>52</v>
      </c>
      <c r="H30" s="49" t="s">
        <v>76</v>
      </c>
      <c r="I30" s="49" t="s">
        <v>76</v>
      </c>
      <c r="K30" s="64"/>
      <c r="M30" s="64"/>
    </row>
    <row r="31" spans="1:13" ht="13.8">
      <c r="A31" s="15" t="s">
        <v>50</v>
      </c>
      <c r="B31" s="49">
        <v>60.007999999999996</v>
      </c>
      <c r="C31" s="49">
        <v>97.85</v>
      </c>
      <c r="D31" s="49">
        <v>67</v>
      </c>
      <c r="E31" s="49">
        <v>71.849999999999994</v>
      </c>
      <c r="F31" s="49">
        <v>89.6</v>
      </c>
      <c r="G31" s="49" t="s">
        <v>76</v>
      </c>
      <c r="H31" s="49">
        <v>80</v>
      </c>
      <c r="I31" s="49">
        <v>74.59</v>
      </c>
      <c r="K31" s="64"/>
      <c r="M31" s="64"/>
    </row>
    <row r="32" spans="1:13" ht="13.8">
      <c r="A32" s="15" t="s">
        <v>51</v>
      </c>
      <c r="B32" s="49">
        <v>70.887499999999989</v>
      </c>
      <c r="C32" s="49">
        <v>107.75</v>
      </c>
      <c r="D32" s="49">
        <v>73.25</v>
      </c>
      <c r="E32" s="49">
        <v>83</v>
      </c>
      <c r="F32" s="49">
        <v>94.25</v>
      </c>
      <c r="G32" s="49" t="s">
        <v>76</v>
      </c>
      <c r="H32" s="49" t="s">
        <v>76</v>
      </c>
      <c r="I32" s="49">
        <v>74.625</v>
      </c>
      <c r="K32" s="64"/>
      <c r="M32" s="64"/>
    </row>
    <row r="33" spans="1:13" ht="13.8">
      <c r="A33" s="15" t="s">
        <v>52</v>
      </c>
      <c r="B33" s="49">
        <v>70.966999999999999</v>
      </c>
      <c r="C33" s="49">
        <v>108.19</v>
      </c>
      <c r="D33" s="49">
        <v>72.69</v>
      </c>
      <c r="E33" s="49">
        <v>81.69</v>
      </c>
      <c r="F33" s="49">
        <v>95.25</v>
      </c>
      <c r="G33" s="49" t="s">
        <v>76</v>
      </c>
      <c r="H33" s="49" t="s">
        <v>76</v>
      </c>
      <c r="I33" s="49">
        <v>76.7</v>
      </c>
      <c r="K33" s="64"/>
      <c r="M33" s="64"/>
    </row>
    <row r="34" spans="1:13" ht="13.8">
      <c r="A34" s="15" t="s">
        <v>38</v>
      </c>
      <c r="B34" s="49">
        <v>65.227999999999994</v>
      </c>
      <c r="C34" s="49">
        <v>101.5</v>
      </c>
      <c r="D34" s="49">
        <v>71.099999999999994</v>
      </c>
      <c r="E34" s="49">
        <v>73.75</v>
      </c>
      <c r="F34" s="49">
        <v>88.4</v>
      </c>
      <c r="G34" s="49" t="s">
        <v>76</v>
      </c>
      <c r="H34" s="49" t="s">
        <v>76</v>
      </c>
      <c r="I34" s="49">
        <v>76.25</v>
      </c>
      <c r="K34" s="64"/>
      <c r="M34" s="64"/>
    </row>
    <row r="35" spans="1:13" ht="13.8">
      <c r="A35" s="15"/>
      <c r="B35" s="49"/>
      <c r="C35" s="49"/>
      <c r="D35" s="49"/>
      <c r="E35" s="49"/>
      <c r="F35" s="49"/>
      <c r="G35" s="49"/>
      <c r="H35" s="49"/>
      <c r="I35" s="49"/>
      <c r="K35" s="64"/>
      <c r="M35" s="64"/>
    </row>
    <row r="36" spans="1:13" ht="13.8">
      <c r="A36" s="31" t="s">
        <v>54</v>
      </c>
      <c r="B36" s="49"/>
      <c r="C36" s="49"/>
      <c r="D36" s="49"/>
      <c r="E36" s="49"/>
      <c r="F36" s="49"/>
      <c r="G36" s="49"/>
      <c r="H36" s="49"/>
      <c r="I36" s="49"/>
      <c r="J36" s="106"/>
      <c r="K36" s="64"/>
      <c r="M36" s="64"/>
    </row>
    <row r="37" spans="1:13" ht="13.8">
      <c r="A37" s="15" t="s">
        <v>39</v>
      </c>
      <c r="B37" s="49">
        <v>56.599999999999994</v>
      </c>
      <c r="C37" s="49">
        <v>92</v>
      </c>
      <c r="D37" s="49">
        <v>64.75</v>
      </c>
      <c r="E37" s="49">
        <v>65.1875</v>
      </c>
      <c r="F37" s="49">
        <v>83.25</v>
      </c>
      <c r="G37" s="49" t="s">
        <v>76</v>
      </c>
      <c r="H37" s="95">
        <v>90</v>
      </c>
      <c r="I37" s="49">
        <v>65.17</v>
      </c>
      <c r="J37" s="155"/>
      <c r="K37" s="64"/>
      <c r="M37" s="64"/>
    </row>
    <row r="38" spans="1:13" ht="13.8">
      <c r="A38" s="15" t="s">
        <v>40</v>
      </c>
      <c r="B38" s="49">
        <v>53.39</v>
      </c>
      <c r="C38" s="49">
        <v>86.38</v>
      </c>
      <c r="D38" s="49">
        <v>62.25</v>
      </c>
      <c r="E38" s="49">
        <v>61.63</v>
      </c>
      <c r="F38" s="49">
        <v>81.5</v>
      </c>
      <c r="G38" s="49" t="s">
        <v>76</v>
      </c>
      <c r="H38" s="95" t="s">
        <v>76</v>
      </c>
      <c r="I38" s="49">
        <v>57.024999999999999</v>
      </c>
      <c r="J38" s="155"/>
      <c r="K38" s="64"/>
      <c r="M38" s="64"/>
    </row>
    <row r="39" spans="1:13" ht="13.8">
      <c r="A39" s="15" t="s">
        <v>42</v>
      </c>
      <c r="B39" s="49">
        <v>52.33</v>
      </c>
      <c r="C39" s="49">
        <v>83.1</v>
      </c>
      <c r="D39" s="49">
        <v>58.6</v>
      </c>
      <c r="E39" s="49">
        <v>59.45</v>
      </c>
      <c r="F39" s="49">
        <v>77.8</v>
      </c>
      <c r="G39" s="49" t="s">
        <v>76</v>
      </c>
      <c r="H39" s="95">
        <v>65</v>
      </c>
      <c r="I39" s="49">
        <v>50.67</v>
      </c>
      <c r="J39" s="155"/>
      <c r="K39" s="64"/>
      <c r="M39" s="64"/>
    </row>
    <row r="40" spans="1:13" ht="13.8">
      <c r="A40" s="15" t="s">
        <v>43</v>
      </c>
      <c r="B40" s="49">
        <v>49.1</v>
      </c>
      <c r="C40" s="49">
        <v>79.5</v>
      </c>
      <c r="D40" s="49">
        <v>58.13</v>
      </c>
      <c r="E40" s="49">
        <v>57.25</v>
      </c>
      <c r="F40" s="49">
        <v>76.5</v>
      </c>
      <c r="G40" s="49" t="s">
        <v>76</v>
      </c>
      <c r="H40" s="95" t="s">
        <v>76</v>
      </c>
      <c r="I40" s="49" t="s">
        <v>76</v>
      </c>
      <c r="J40" s="155"/>
      <c r="K40" s="64"/>
      <c r="M40" s="64"/>
    </row>
    <row r="41" spans="1:13" ht="13.8">
      <c r="A41" s="15" t="s">
        <v>44</v>
      </c>
      <c r="B41" s="49">
        <v>47.327500000000001</v>
      </c>
      <c r="C41" s="49">
        <v>76.5</v>
      </c>
      <c r="D41" s="49">
        <v>57.38</v>
      </c>
      <c r="E41" s="49">
        <v>53.06</v>
      </c>
      <c r="F41" s="49">
        <v>76.75</v>
      </c>
      <c r="G41" s="49" t="s">
        <v>76</v>
      </c>
      <c r="H41" s="95">
        <v>45.33</v>
      </c>
      <c r="I41" s="49">
        <v>52.5</v>
      </c>
      <c r="J41" s="155"/>
      <c r="K41" s="64"/>
      <c r="M41" s="64"/>
    </row>
    <row r="42" spans="1:13" ht="13.8">
      <c r="A42" s="15" t="s">
        <v>46</v>
      </c>
      <c r="B42" s="49">
        <v>46.957999999999998</v>
      </c>
      <c r="C42" s="49">
        <v>79.95</v>
      </c>
      <c r="D42" s="49">
        <v>57.45</v>
      </c>
      <c r="E42" s="49">
        <v>55.55</v>
      </c>
      <c r="F42" s="49">
        <v>76</v>
      </c>
      <c r="G42" s="49" t="s">
        <v>76</v>
      </c>
      <c r="H42" s="95" t="s">
        <v>76</v>
      </c>
      <c r="I42" s="49">
        <v>52</v>
      </c>
      <c r="J42" s="155"/>
      <c r="K42" s="64"/>
      <c r="M42" s="64"/>
    </row>
    <row r="43" spans="1:13" ht="13.8">
      <c r="A43" s="15" t="s">
        <v>47</v>
      </c>
      <c r="B43" s="49">
        <v>45.1325</v>
      </c>
      <c r="C43" s="49">
        <v>77.25</v>
      </c>
      <c r="D43" s="49">
        <v>56.06</v>
      </c>
      <c r="E43" s="49">
        <v>54.38</v>
      </c>
      <c r="F43" s="49">
        <v>75.13</v>
      </c>
      <c r="G43" s="49" t="s">
        <v>76</v>
      </c>
      <c r="H43" s="95">
        <v>41</v>
      </c>
      <c r="I43" s="49">
        <v>52.17</v>
      </c>
      <c r="J43" s="155"/>
      <c r="K43" s="64"/>
      <c r="M43" s="64"/>
    </row>
    <row r="44" spans="1:13" ht="13.8">
      <c r="A44" s="15" t="s">
        <v>48</v>
      </c>
      <c r="B44" s="49">
        <v>43.302</v>
      </c>
      <c r="C44" s="49">
        <v>74.55</v>
      </c>
      <c r="D44" s="49">
        <v>54.6</v>
      </c>
      <c r="E44" s="49">
        <v>52.75</v>
      </c>
      <c r="F44" s="49">
        <v>73.8</v>
      </c>
      <c r="G44" s="49" t="s">
        <v>76</v>
      </c>
      <c r="H44" s="95">
        <v>42</v>
      </c>
      <c r="I44" s="49">
        <v>48.875</v>
      </c>
      <c r="J44" s="155"/>
      <c r="K44" s="64"/>
      <c r="M44" s="64"/>
    </row>
    <row r="45" spans="1:13" ht="16.2">
      <c r="A45" s="82" t="s">
        <v>138</v>
      </c>
      <c r="B45" s="124"/>
      <c r="C45" s="124"/>
      <c r="D45" s="124"/>
      <c r="E45" s="124"/>
      <c r="F45" s="124"/>
      <c r="G45" s="124"/>
      <c r="H45" s="124"/>
      <c r="I45" s="125"/>
    </row>
    <row r="46" spans="1:13" ht="16.2">
      <c r="A46" s="15" t="s">
        <v>139</v>
      </c>
      <c r="B46" s="62"/>
      <c r="C46" s="62"/>
      <c r="D46" s="62"/>
      <c r="E46" s="62"/>
      <c r="F46" s="62"/>
      <c r="G46" s="62"/>
      <c r="H46" s="62"/>
      <c r="I46" s="62"/>
    </row>
    <row r="47" spans="1:13" ht="14.4">
      <c r="A47" s="15" t="s">
        <v>140</v>
      </c>
      <c r="B47" s="15"/>
      <c r="C47" s="15"/>
      <c r="D47" s="15"/>
      <c r="E47" s="15"/>
      <c r="F47" s="62"/>
      <c r="G47" s="15"/>
      <c r="H47" s="15"/>
      <c r="I47" s="15"/>
    </row>
    <row r="48" spans="1:13" ht="13.8">
      <c r="A48" s="20" t="s">
        <v>57</v>
      </c>
      <c r="B48" s="37">
        <f>Contents!A16</f>
        <v>45457</v>
      </c>
      <c r="C48" s="15"/>
      <c r="D48" s="15"/>
      <c r="E48" s="15"/>
      <c r="F48" s="15"/>
      <c r="G48" s="15"/>
      <c r="H48" s="15"/>
      <c r="I48" s="15"/>
    </row>
    <row r="49" spans="2:9" ht="15.6">
      <c r="C49" s="63"/>
      <c r="G49" s="63"/>
      <c r="H49" s="63"/>
      <c r="I49" s="63"/>
    </row>
    <row r="50" spans="2:9" ht="15.6">
      <c r="B50" s="64"/>
      <c r="C50" s="64"/>
      <c r="D50" s="64"/>
      <c r="E50" s="64"/>
      <c r="F50" s="64"/>
      <c r="G50" s="64"/>
      <c r="H50" s="63"/>
      <c r="I50" s="63"/>
    </row>
    <row r="51" spans="2:9" ht="15.6">
      <c r="B51" s="88"/>
      <c r="C51" s="88"/>
      <c r="D51" s="88"/>
      <c r="E51" s="88"/>
      <c r="F51" s="88"/>
      <c r="G51" s="88"/>
      <c r="H51" s="63"/>
      <c r="I51" s="63"/>
    </row>
    <row r="52" spans="2:9" ht="15.6">
      <c r="C52" s="63"/>
      <c r="G52" s="63"/>
      <c r="H52" s="63"/>
      <c r="I52" s="63"/>
    </row>
    <row r="53" spans="2:9" ht="15.6">
      <c r="C53" s="63"/>
      <c r="G53" s="63"/>
      <c r="H53" s="63"/>
      <c r="I53" s="63"/>
    </row>
    <row r="54" spans="2:9" ht="15.6">
      <c r="C54" s="63"/>
      <c r="G54" s="63"/>
      <c r="H54" s="63"/>
      <c r="I54" s="63"/>
    </row>
    <row r="55" spans="2:9" ht="15.6">
      <c r="C55" s="63"/>
      <c r="G55" s="63"/>
      <c r="H55" s="63"/>
      <c r="I55" s="63"/>
    </row>
    <row r="56" spans="2:9" ht="15.6">
      <c r="C56" s="63"/>
      <c r="G56" s="63"/>
      <c r="H56" s="63"/>
      <c r="I56" s="63"/>
    </row>
    <row r="57" spans="2:9" ht="15.6">
      <c r="C57" s="63"/>
      <c r="G57" s="63"/>
      <c r="H57" s="63"/>
      <c r="I57" s="63"/>
    </row>
    <row r="58" spans="2:9" ht="15.6">
      <c r="C58" s="63"/>
      <c r="G58" s="63"/>
      <c r="H58" s="63"/>
      <c r="I58" s="63"/>
    </row>
    <row r="59" spans="2:9" ht="15.6">
      <c r="C59" s="63"/>
      <c r="G59" s="63"/>
      <c r="H59" s="63"/>
      <c r="I59" s="63"/>
    </row>
    <row r="60" spans="2:9" ht="15.6">
      <c r="C60" s="63"/>
      <c r="G60" s="63"/>
      <c r="H60" s="63"/>
      <c r="I60" s="63"/>
    </row>
    <row r="61" spans="2:9" ht="15.6">
      <c r="C61" s="63"/>
      <c r="G61" s="63"/>
      <c r="H61" s="63"/>
      <c r="I61" s="63"/>
    </row>
    <row r="62" spans="2:9" ht="15.6">
      <c r="C62" s="63"/>
      <c r="G62" s="63"/>
      <c r="H62" s="63"/>
      <c r="I62" s="63"/>
    </row>
    <row r="63" spans="2:9" ht="15.6">
      <c r="C63" s="63"/>
      <c r="G63" s="63"/>
      <c r="H63" s="63"/>
      <c r="I63" s="63"/>
    </row>
    <row r="64" spans="2:9" ht="15.6">
      <c r="C64" s="63"/>
      <c r="G64" s="63"/>
      <c r="H64" s="63"/>
      <c r="I64" s="63"/>
    </row>
    <row r="65" spans="3:9" ht="15.6">
      <c r="C65" s="63"/>
      <c r="H65" s="63"/>
      <c r="I65" s="63"/>
    </row>
    <row r="66" spans="3:9" ht="15.6">
      <c r="C66" s="63"/>
      <c r="H66" s="63"/>
      <c r="I66" s="63"/>
    </row>
    <row r="67" spans="3:9" ht="15.6">
      <c r="C67" s="63"/>
      <c r="F67" s="64"/>
      <c r="H67" s="63"/>
      <c r="I67" s="63"/>
    </row>
    <row r="68" spans="3:9" ht="15.6">
      <c r="F68" s="64"/>
      <c r="H68" s="63"/>
      <c r="I68" s="63"/>
    </row>
  </sheetData>
  <phoneticPr fontId="45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8"/>
  <sheetViews>
    <sheetView showGridLines="0" zoomScale="70" zoomScaleNormal="70" workbookViewId="0">
      <pane xSplit="1" ySplit="4" topLeftCell="B5" activePane="bottomRight" state="frozen"/>
      <selection activeCell="F62" sqref="F62"/>
      <selection pane="topRight" activeCell="F62" sqref="F62"/>
      <selection pane="bottomLeft" activeCell="F62" sqref="F62"/>
      <selection pane="bottomRight"/>
    </sheetView>
  </sheetViews>
  <sheetFormatPr defaultColWidth="9.109375" defaultRowHeight="13.2"/>
  <cols>
    <col min="1" max="1" width="11.5546875" customWidth="1"/>
    <col min="2" max="7" width="13.5546875" customWidth="1"/>
    <col min="8" max="8" width="12.4414062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122</v>
      </c>
      <c r="C2" s="65" t="s">
        <v>123</v>
      </c>
      <c r="D2" s="65" t="s">
        <v>124</v>
      </c>
      <c r="E2" s="65" t="s">
        <v>126</v>
      </c>
      <c r="F2" s="17" t="s">
        <v>141</v>
      </c>
      <c r="G2" s="17" t="s">
        <v>142</v>
      </c>
      <c r="AB2" s="66"/>
    </row>
    <row r="3" spans="1:28" ht="15.6" customHeight="1">
      <c r="A3" s="14" t="s">
        <v>103</v>
      </c>
      <c r="B3" s="23" t="s">
        <v>143</v>
      </c>
      <c r="C3" s="23" t="s">
        <v>144</v>
      </c>
      <c r="D3" s="23" t="s">
        <v>145</v>
      </c>
      <c r="E3" s="23" t="s">
        <v>146</v>
      </c>
      <c r="F3" s="23" t="s">
        <v>147</v>
      </c>
      <c r="G3" s="23" t="s">
        <v>148</v>
      </c>
      <c r="AB3" s="66"/>
    </row>
    <row r="4" spans="1:28" ht="14.4">
      <c r="A4" s="59" t="s">
        <v>149</v>
      </c>
      <c r="C4" s="60"/>
      <c r="D4" s="60"/>
      <c r="E4" s="60"/>
      <c r="F4" s="60"/>
      <c r="G4" s="60"/>
      <c r="AB4" s="66"/>
    </row>
    <row r="5" spans="1:28" ht="13.8">
      <c r="A5" s="15"/>
      <c r="B5" s="15"/>
      <c r="C5" s="15"/>
      <c r="D5" s="15"/>
      <c r="E5" s="15"/>
      <c r="F5" s="15"/>
      <c r="G5" s="15"/>
      <c r="AB5" s="66"/>
    </row>
    <row r="6" spans="1:28" ht="13.8">
      <c r="A6" s="15" t="s">
        <v>108</v>
      </c>
      <c r="B6" s="61">
        <v>345.52</v>
      </c>
      <c r="C6" s="61">
        <v>273.83999999999997</v>
      </c>
      <c r="D6" s="61">
        <v>219.72</v>
      </c>
      <c r="E6" s="53" t="s">
        <v>76</v>
      </c>
      <c r="F6" s="61">
        <v>263.63</v>
      </c>
      <c r="G6" s="61">
        <v>240.65</v>
      </c>
      <c r="H6" s="64"/>
      <c r="I6" s="64"/>
      <c r="J6" s="64"/>
      <c r="AB6" s="66"/>
    </row>
    <row r="7" spans="1:28" ht="13.8">
      <c r="A7" s="15" t="s">
        <v>109</v>
      </c>
      <c r="B7" s="61">
        <v>393.53</v>
      </c>
      <c r="C7" s="61">
        <v>275.13</v>
      </c>
      <c r="D7" s="61">
        <v>246.75</v>
      </c>
      <c r="E7" s="53" t="s">
        <v>76</v>
      </c>
      <c r="F7" s="61">
        <v>307.58999999999997</v>
      </c>
      <c r="G7" s="61">
        <v>265.68</v>
      </c>
      <c r="H7" s="64"/>
      <c r="I7" s="64"/>
      <c r="J7" s="64"/>
      <c r="AB7" s="66"/>
    </row>
    <row r="8" spans="1:28" ht="13.8">
      <c r="A8" s="15" t="s">
        <v>110</v>
      </c>
      <c r="B8" s="61">
        <v>468.11</v>
      </c>
      <c r="C8" s="61">
        <v>331.52</v>
      </c>
      <c r="D8" s="61">
        <v>241.57</v>
      </c>
      <c r="E8" s="53" t="s">
        <v>76</v>
      </c>
      <c r="F8" s="61">
        <v>354.22</v>
      </c>
      <c r="G8" s="61">
        <v>329.31</v>
      </c>
      <c r="H8" s="64"/>
      <c r="I8" s="64"/>
      <c r="J8" s="64"/>
      <c r="AB8" s="66"/>
    </row>
    <row r="9" spans="1:28" ht="13.8">
      <c r="A9" s="15" t="s">
        <v>111</v>
      </c>
      <c r="B9" s="61">
        <v>489.94</v>
      </c>
      <c r="C9" s="61">
        <v>377.71</v>
      </c>
      <c r="D9" s="61">
        <v>238.87</v>
      </c>
      <c r="E9" s="53" t="s">
        <v>76</v>
      </c>
      <c r="F9" s="61">
        <v>359.7</v>
      </c>
      <c r="G9" s="61">
        <v>337.23</v>
      </c>
      <c r="H9" s="64"/>
      <c r="I9" s="64"/>
      <c r="J9" s="64"/>
      <c r="AB9" s="66"/>
    </row>
    <row r="10" spans="1:28" ht="13.8">
      <c r="A10" s="15" t="s">
        <v>112</v>
      </c>
      <c r="B10" s="61">
        <v>368.49</v>
      </c>
      <c r="C10" s="61">
        <v>304.27</v>
      </c>
      <c r="D10" s="61">
        <v>209.97</v>
      </c>
      <c r="E10" s="53" t="s">
        <v>76</v>
      </c>
      <c r="F10" s="61">
        <v>301.2</v>
      </c>
      <c r="G10" s="61">
        <v>256.58</v>
      </c>
      <c r="H10" s="64"/>
      <c r="I10" s="64"/>
      <c r="J10" s="64"/>
      <c r="AB10" s="66"/>
    </row>
    <row r="11" spans="1:28" ht="13.8">
      <c r="A11" s="15" t="s">
        <v>113</v>
      </c>
      <c r="B11" s="61">
        <v>324.56</v>
      </c>
      <c r="C11" s="61">
        <v>261.19</v>
      </c>
      <c r="D11" s="61">
        <v>153.16999999999999</v>
      </c>
      <c r="E11" s="53" t="s">
        <v>76</v>
      </c>
      <c r="F11" s="61">
        <v>262.2</v>
      </c>
      <c r="G11" s="61">
        <v>260.23</v>
      </c>
      <c r="H11" s="64"/>
      <c r="I11" s="64"/>
      <c r="J11" s="64"/>
      <c r="AB11" s="66"/>
    </row>
    <row r="12" spans="1:28" ht="13.8">
      <c r="A12" s="15" t="s">
        <v>114</v>
      </c>
      <c r="B12" s="61">
        <v>316.88</v>
      </c>
      <c r="C12" s="61">
        <v>208.61</v>
      </c>
      <c r="D12" s="61">
        <v>145.1</v>
      </c>
      <c r="E12" s="53" t="s">
        <v>76</v>
      </c>
      <c r="F12" s="61">
        <v>267.94</v>
      </c>
      <c r="G12" s="61">
        <v>282.49</v>
      </c>
      <c r="H12" s="64"/>
      <c r="I12" s="64"/>
      <c r="J12" s="64"/>
      <c r="AB12" s="66"/>
    </row>
    <row r="13" spans="1:28" ht="13.8">
      <c r="A13" s="15" t="s">
        <v>115</v>
      </c>
      <c r="B13" s="61">
        <v>345.02</v>
      </c>
      <c r="C13" s="61">
        <v>260.88</v>
      </c>
      <c r="D13" s="61">
        <v>173.53</v>
      </c>
      <c r="E13" s="53" t="s">
        <v>76</v>
      </c>
      <c r="F13" s="61">
        <v>291.14999999999998</v>
      </c>
      <c r="G13" s="61">
        <v>239.15</v>
      </c>
      <c r="H13" s="64"/>
      <c r="I13" s="64"/>
      <c r="J13" s="64"/>
    </row>
    <row r="14" spans="1:28" ht="13.8">
      <c r="A14" s="15" t="s">
        <v>116</v>
      </c>
      <c r="B14" s="61">
        <v>308.27999999999997</v>
      </c>
      <c r="C14" s="61">
        <v>228.64</v>
      </c>
      <c r="D14" s="61">
        <v>164.16</v>
      </c>
      <c r="E14" s="53" t="s">
        <v>76</v>
      </c>
      <c r="F14" s="61">
        <v>272.38</v>
      </c>
      <c r="G14" s="61">
        <v>225.77</v>
      </c>
      <c r="H14" s="64"/>
      <c r="I14" s="64"/>
      <c r="J14" s="64"/>
    </row>
    <row r="15" spans="1:28" ht="13.8">
      <c r="A15" s="15" t="s">
        <v>117</v>
      </c>
      <c r="B15" s="61">
        <v>299.5</v>
      </c>
      <c r="C15" s="61">
        <v>247.04</v>
      </c>
      <c r="D15" s="61">
        <v>187.7</v>
      </c>
      <c r="E15" s="53" t="s">
        <v>76</v>
      </c>
      <c r="F15" s="61">
        <v>273.99</v>
      </c>
      <c r="G15" s="61">
        <v>245.88</v>
      </c>
      <c r="H15" s="64"/>
      <c r="I15" s="64"/>
      <c r="J15" s="64"/>
    </row>
    <row r="16" spans="1:28" ht="13.8">
      <c r="A16" s="15" t="s">
        <v>118</v>
      </c>
      <c r="B16" s="61">
        <v>392.31</v>
      </c>
      <c r="C16" s="61">
        <v>375.51</v>
      </c>
      <c r="D16" s="92">
        <v>246.22</v>
      </c>
      <c r="E16" s="53" t="s">
        <v>76</v>
      </c>
      <c r="F16" s="61">
        <v>351.87</v>
      </c>
      <c r="G16" s="61">
        <v>288.12</v>
      </c>
      <c r="H16" s="64"/>
      <c r="I16" s="64"/>
      <c r="J16" s="64"/>
    </row>
    <row r="17" spans="1:13" ht="13.8">
      <c r="A17" s="15" t="s">
        <v>34</v>
      </c>
      <c r="B17" s="61">
        <v>439.81</v>
      </c>
      <c r="C17" s="61">
        <v>355.33</v>
      </c>
      <c r="D17" s="61">
        <v>279.98</v>
      </c>
      <c r="E17" s="53" t="s">
        <v>76</v>
      </c>
      <c r="F17" s="61">
        <v>439.1</v>
      </c>
      <c r="G17" s="61">
        <v>332.21</v>
      </c>
      <c r="H17" s="64"/>
      <c r="I17" s="64"/>
      <c r="J17" s="64"/>
    </row>
    <row r="18" spans="1:13" ht="13.8">
      <c r="A18" s="15" t="s">
        <v>37</v>
      </c>
      <c r="B18" s="61">
        <v>451.91</v>
      </c>
      <c r="C18" s="61">
        <v>379.13</v>
      </c>
      <c r="D18" s="61">
        <v>244.34</v>
      </c>
      <c r="E18" s="53" t="s">
        <v>76</v>
      </c>
      <c r="F18" s="61">
        <v>431.34</v>
      </c>
      <c r="G18" s="92">
        <v>359.06</v>
      </c>
      <c r="H18" s="64"/>
      <c r="I18" s="64"/>
      <c r="J18" s="64"/>
    </row>
    <row r="19" spans="1:13" ht="16.2">
      <c r="A19" s="15" t="s">
        <v>137</v>
      </c>
      <c r="B19" s="61">
        <v>380</v>
      </c>
      <c r="C19" s="61">
        <v>340</v>
      </c>
      <c r="D19" s="61">
        <v>200</v>
      </c>
      <c r="E19" s="53" t="s">
        <v>76</v>
      </c>
      <c r="F19" s="61">
        <v>370</v>
      </c>
      <c r="G19" s="92">
        <v>328.55</v>
      </c>
      <c r="H19" s="64"/>
      <c r="I19" s="64"/>
      <c r="J19" s="64"/>
    </row>
    <row r="20" spans="1:13" ht="16.2">
      <c r="A20" s="15" t="s">
        <v>157</v>
      </c>
      <c r="B20" s="61">
        <v>330</v>
      </c>
      <c r="C20" s="61">
        <v>300</v>
      </c>
      <c r="D20" s="61">
        <v>180</v>
      </c>
      <c r="E20" s="53" t="s">
        <v>76</v>
      </c>
      <c r="F20" s="61">
        <v>290</v>
      </c>
      <c r="G20" s="92">
        <v>230</v>
      </c>
      <c r="H20" s="64"/>
      <c r="I20" s="64"/>
      <c r="J20" s="64"/>
    </row>
    <row r="21" spans="1:13" ht="13.8">
      <c r="A21" s="15"/>
      <c r="B21" s="61"/>
      <c r="C21" s="61"/>
      <c r="D21" s="61"/>
      <c r="E21" s="53"/>
      <c r="F21" s="61"/>
      <c r="G21" s="61"/>
      <c r="I21" s="64"/>
      <c r="J21" s="68"/>
      <c r="K21" s="68"/>
      <c r="L21" s="68"/>
      <c r="M21" s="68"/>
    </row>
    <row r="22" spans="1:13" ht="13.8">
      <c r="A22" s="31" t="s">
        <v>37</v>
      </c>
      <c r="B22" s="92"/>
      <c r="C22" s="61"/>
      <c r="D22" s="61"/>
      <c r="E22" s="53"/>
      <c r="F22" s="61"/>
      <c r="G22" s="61"/>
      <c r="H22" s="49"/>
      <c r="I22" s="64"/>
    </row>
    <row r="23" spans="1:13" ht="13.8">
      <c r="A23" s="15" t="s">
        <v>39</v>
      </c>
      <c r="B23" s="92">
        <v>468.67499999999995</v>
      </c>
      <c r="C23" s="61">
        <v>451.875</v>
      </c>
      <c r="D23" s="61" t="s">
        <v>76</v>
      </c>
      <c r="E23" s="53" t="s">
        <v>76</v>
      </c>
      <c r="F23" s="61">
        <v>409.17499999999995</v>
      </c>
      <c r="G23" s="61" t="s">
        <v>76</v>
      </c>
      <c r="H23" s="49"/>
      <c r="I23" s="64"/>
    </row>
    <row r="24" spans="1:13" ht="13.8">
      <c r="A24" s="15" t="s">
        <v>40</v>
      </c>
      <c r="B24" s="92">
        <v>436.74999999999994</v>
      </c>
      <c r="C24" s="61">
        <v>405</v>
      </c>
      <c r="D24" s="61" t="s">
        <v>76</v>
      </c>
      <c r="E24" s="53" t="s">
        <v>76</v>
      </c>
      <c r="F24" s="61">
        <v>402.99999999999994</v>
      </c>
      <c r="G24" s="61">
        <v>357.5</v>
      </c>
      <c r="H24" s="49"/>
      <c r="I24" s="64"/>
    </row>
    <row r="25" spans="1:13" ht="13.8">
      <c r="A25" s="15" t="s">
        <v>42</v>
      </c>
      <c r="B25" s="92">
        <v>462.85</v>
      </c>
      <c r="C25" s="61">
        <v>390.625</v>
      </c>
      <c r="D25" s="61">
        <v>200</v>
      </c>
      <c r="E25" s="53" t="s">
        <v>76</v>
      </c>
      <c r="F25" s="61">
        <v>437.09999999999997</v>
      </c>
      <c r="G25" s="61">
        <v>368.5</v>
      </c>
      <c r="H25" s="49"/>
      <c r="I25" s="64"/>
    </row>
    <row r="26" spans="1:13" ht="13.8">
      <c r="A26" s="15" t="s">
        <v>43</v>
      </c>
      <c r="B26" s="92">
        <v>482.40000000000003</v>
      </c>
      <c r="C26" s="61">
        <v>386.25</v>
      </c>
      <c r="D26" s="61">
        <v>355</v>
      </c>
      <c r="E26" s="53" t="s">
        <v>76</v>
      </c>
      <c r="F26" s="61">
        <v>474.02500000000003</v>
      </c>
      <c r="G26" s="61">
        <v>397.5</v>
      </c>
      <c r="H26" s="49"/>
      <c r="I26" s="64"/>
    </row>
    <row r="27" spans="1:13" ht="13.8">
      <c r="A27" s="15" t="s">
        <v>44</v>
      </c>
      <c r="B27" s="92">
        <v>500.52499999999998</v>
      </c>
      <c r="C27" s="61">
        <v>392.5</v>
      </c>
      <c r="D27" s="61">
        <v>336.25</v>
      </c>
      <c r="E27" s="53" t="s">
        <v>76</v>
      </c>
      <c r="F27" s="61">
        <v>501.02499999999998</v>
      </c>
      <c r="G27" s="61">
        <v>412.5</v>
      </c>
      <c r="H27" s="49"/>
      <c r="I27" s="64"/>
    </row>
    <row r="28" spans="1:13" ht="13.8">
      <c r="A28" s="15" t="s">
        <v>46</v>
      </c>
      <c r="B28" s="92">
        <v>484.4</v>
      </c>
      <c r="C28" s="61">
        <v>386.25</v>
      </c>
      <c r="D28" s="61">
        <v>308</v>
      </c>
      <c r="E28" s="53" t="s">
        <v>76</v>
      </c>
      <c r="F28" s="61">
        <v>466.6</v>
      </c>
      <c r="G28" s="61">
        <v>380.4</v>
      </c>
      <c r="H28" s="49"/>
      <c r="I28" s="64"/>
    </row>
    <row r="29" spans="1:13" ht="13.8">
      <c r="A29" s="15" t="s">
        <v>47</v>
      </c>
      <c r="B29" s="92">
        <v>457.25</v>
      </c>
      <c r="C29" s="61">
        <v>364.375</v>
      </c>
      <c r="D29" s="61">
        <v>252.5</v>
      </c>
      <c r="E29" s="53" t="s">
        <v>76</v>
      </c>
      <c r="F29" s="61">
        <v>434.75</v>
      </c>
      <c r="G29" s="61">
        <v>352.5</v>
      </c>
      <c r="H29" s="49"/>
      <c r="I29" s="64"/>
    </row>
    <row r="30" spans="1:13" ht="13.8">
      <c r="A30" s="15" t="s">
        <v>48</v>
      </c>
      <c r="B30" s="92">
        <v>423.57499999999999</v>
      </c>
      <c r="C30" s="61">
        <v>370.625</v>
      </c>
      <c r="D30" s="61">
        <v>237.5</v>
      </c>
      <c r="E30" s="53" t="s">
        <v>76</v>
      </c>
      <c r="F30" s="61">
        <v>407.02500000000003</v>
      </c>
      <c r="G30" s="61">
        <v>352.5</v>
      </c>
      <c r="H30" s="49"/>
      <c r="I30" s="64"/>
    </row>
    <row r="31" spans="1:13" ht="13.8">
      <c r="A31" s="15" t="s">
        <v>50</v>
      </c>
      <c r="B31" s="92">
        <v>413.46000000000004</v>
      </c>
      <c r="C31" s="61">
        <v>362.5</v>
      </c>
      <c r="D31" s="61">
        <v>208.00200000000001</v>
      </c>
      <c r="E31" s="53" t="s">
        <v>76</v>
      </c>
      <c r="F31" s="61">
        <v>405.06000000000006</v>
      </c>
      <c r="G31" s="61">
        <v>354</v>
      </c>
      <c r="H31" s="49"/>
      <c r="I31" s="64"/>
    </row>
    <row r="32" spans="1:13" ht="13.8">
      <c r="A32" s="15" t="s">
        <v>51</v>
      </c>
      <c r="B32" s="92">
        <v>443.15</v>
      </c>
      <c r="C32" s="61">
        <v>347.5</v>
      </c>
      <c r="D32" s="61">
        <v>159.16749999999999</v>
      </c>
      <c r="E32" s="53" t="s">
        <v>76</v>
      </c>
      <c r="F32" s="61">
        <v>432.1</v>
      </c>
      <c r="G32" s="61">
        <v>335</v>
      </c>
      <c r="H32" s="49"/>
      <c r="I32" s="64"/>
    </row>
    <row r="33" spans="1:10" ht="13.8">
      <c r="A33" s="15" t="s">
        <v>52</v>
      </c>
      <c r="B33" s="92">
        <v>438.8</v>
      </c>
      <c r="C33" s="61">
        <v>348.33</v>
      </c>
      <c r="D33" s="61">
        <v>185</v>
      </c>
      <c r="E33" s="53" t="s">
        <v>76</v>
      </c>
      <c r="F33" s="61">
        <v>412.9</v>
      </c>
      <c r="G33" s="61">
        <v>321.25</v>
      </c>
      <c r="H33" s="49"/>
      <c r="I33" s="64"/>
    </row>
    <row r="34" spans="1:10" ht="13.8">
      <c r="A34" s="15" t="s">
        <v>38</v>
      </c>
      <c r="B34" s="92">
        <v>411.07</v>
      </c>
      <c r="C34" s="61">
        <v>343.75</v>
      </c>
      <c r="D34" s="61">
        <v>202</v>
      </c>
      <c r="E34" s="53" t="s">
        <v>76</v>
      </c>
      <c r="F34" s="61">
        <v>393.26</v>
      </c>
      <c r="G34" s="61">
        <v>318</v>
      </c>
      <c r="H34" s="49"/>
      <c r="I34" s="64"/>
    </row>
    <row r="35" spans="1:10" ht="13.8">
      <c r="A35" s="15"/>
      <c r="B35" s="92"/>
      <c r="C35" s="61"/>
      <c r="D35" s="61"/>
      <c r="E35" s="53"/>
      <c r="F35" s="61"/>
      <c r="G35" s="61"/>
      <c r="H35" s="49"/>
      <c r="I35" s="64"/>
    </row>
    <row r="36" spans="1:10" ht="13.8">
      <c r="A36" s="31" t="s">
        <v>54</v>
      </c>
      <c r="B36" s="92"/>
      <c r="C36" s="61"/>
      <c r="D36" s="61"/>
      <c r="E36" s="53"/>
      <c r="F36" s="61"/>
      <c r="G36" s="61"/>
      <c r="H36" s="49"/>
      <c r="I36" s="64"/>
    </row>
    <row r="37" spans="1:10" ht="13.8">
      <c r="A37" s="15" t="s">
        <v>39</v>
      </c>
      <c r="B37" s="92">
        <v>416.16</v>
      </c>
      <c r="C37" s="61">
        <v>348.75</v>
      </c>
      <c r="D37" s="61">
        <v>229.16500000000002</v>
      </c>
      <c r="E37" s="53" t="s">
        <v>76</v>
      </c>
      <c r="F37" s="61">
        <v>407.1</v>
      </c>
      <c r="G37" s="61">
        <v>325</v>
      </c>
      <c r="H37" s="49"/>
      <c r="I37" s="64"/>
    </row>
    <row r="38" spans="1:10" ht="13.8">
      <c r="A38" s="15" t="s">
        <v>40</v>
      </c>
      <c r="B38" s="92">
        <v>464.27</v>
      </c>
      <c r="C38" s="61">
        <v>350</v>
      </c>
      <c r="D38" s="61">
        <v>266.67</v>
      </c>
      <c r="E38" s="53" t="s">
        <v>76</v>
      </c>
      <c r="F38" s="61">
        <v>441.77</v>
      </c>
      <c r="G38" s="92">
        <v>348.33</v>
      </c>
      <c r="H38" s="49"/>
      <c r="I38" s="64"/>
    </row>
    <row r="39" spans="1:10" ht="13.8">
      <c r="A39" s="15" t="s">
        <v>42</v>
      </c>
      <c r="B39" s="92">
        <v>440.6</v>
      </c>
      <c r="C39" s="61">
        <v>358.75</v>
      </c>
      <c r="D39" s="61">
        <v>270</v>
      </c>
      <c r="E39" s="53" t="s">
        <v>76</v>
      </c>
      <c r="F39" s="61">
        <v>395.04999999999995</v>
      </c>
      <c r="G39" s="92">
        <v>365</v>
      </c>
      <c r="H39" s="49"/>
      <c r="I39" s="64"/>
    </row>
    <row r="40" spans="1:10" ht="13.8">
      <c r="A40" s="15" t="s">
        <v>43</v>
      </c>
      <c r="B40" s="92">
        <v>378.4</v>
      </c>
      <c r="C40" s="61">
        <v>352.5</v>
      </c>
      <c r="D40" s="61">
        <v>270</v>
      </c>
      <c r="E40" s="53" t="s">
        <v>76</v>
      </c>
      <c r="F40" s="61">
        <v>349.3</v>
      </c>
      <c r="G40" s="92">
        <v>365</v>
      </c>
      <c r="H40" s="49"/>
      <c r="I40" s="64"/>
    </row>
    <row r="41" spans="1:10" ht="13.8">
      <c r="A41" s="15" t="s">
        <v>44</v>
      </c>
      <c r="B41" s="92">
        <v>363.625</v>
      </c>
      <c r="C41" s="61">
        <v>355</v>
      </c>
      <c r="D41" s="61">
        <v>210</v>
      </c>
      <c r="E41" s="53" t="s">
        <v>76</v>
      </c>
      <c r="F41" s="61">
        <v>357.75</v>
      </c>
      <c r="G41" s="92" t="s">
        <v>76</v>
      </c>
      <c r="H41" s="49"/>
      <c r="I41" s="64"/>
    </row>
    <row r="42" spans="1:10" ht="13.8">
      <c r="A42" s="15" t="s">
        <v>46</v>
      </c>
      <c r="B42" s="92">
        <v>361.75</v>
      </c>
      <c r="C42" s="61">
        <v>343.33</v>
      </c>
      <c r="D42" s="61">
        <v>140</v>
      </c>
      <c r="E42" s="53" t="s">
        <v>76</v>
      </c>
      <c r="F42" s="61">
        <v>348.76</v>
      </c>
      <c r="G42" s="92">
        <v>331</v>
      </c>
      <c r="H42" s="49"/>
      <c r="I42" s="64"/>
    </row>
    <row r="43" spans="1:10" ht="13.8">
      <c r="A43" s="15" t="s">
        <v>47</v>
      </c>
      <c r="B43" s="92">
        <v>357.67500000000001</v>
      </c>
      <c r="C43" s="61">
        <v>333.75</v>
      </c>
      <c r="D43" s="61">
        <v>142.5</v>
      </c>
      <c r="E43" s="53" t="s">
        <v>76</v>
      </c>
      <c r="F43" s="61">
        <v>357.17500000000001</v>
      </c>
      <c r="G43" s="92">
        <v>292.5</v>
      </c>
      <c r="H43" s="49"/>
      <c r="I43" s="64"/>
    </row>
    <row r="44" spans="1:10" ht="13.8">
      <c r="A44" s="15" t="s">
        <v>48</v>
      </c>
      <c r="B44" s="92">
        <v>388.65</v>
      </c>
      <c r="C44" s="61">
        <v>330</v>
      </c>
      <c r="D44" s="61">
        <v>170</v>
      </c>
      <c r="E44" s="53" t="s">
        <v>76</v>
      </c>
      <c r="F44" s="61">
        <v>411.82</v>
      </c>
      <c r="G44" s="92">
        <v>259</v>
      </c>
      <c r="H44" s="49"/>
      <c r="I44" s="64"/>
    </row>
    <row r="45" spans="1:10" ht="16.2">
      <c r="A45" s="82" t="s">
        <v>150</v>
      </c>
      <c r="B45" s="126"/>
      <c r="C45" s="126"/>
      <c r="D45" s="126"/>
      <c r="E45" s="126"/>
      <c r="F45" s="126"/>
      <c r="G45" s="126"/>
      <c r="I45" s="67"/>
    </row>
    <row r="46" spans="1:10" ht="16.2">
      <c r="A46" s="42" t="s">
        <v>151</v>
      </c>
      <c r="B46" s="69"/>
      <c r="C46" s="69"/>
      <c r="D46" s="69"/>
      <c r="E46" s="69"/>
      <c r="F46" s="69"/>
      <c r="G46" s="69"/>
      <c r="I46" s="67"/>
      <c r="J46" s="67"/>
    </row>
    <row r="47" spans="1:10" ht="14.4">
      <c r="A47" s="15" t="s">
        <v>152</v>
      </c>
      <c r="B47" s="15"/>
      <c r="C47" s="15"/>
      <c r="D47" s="15"/>
      <c r="E47" s="15"/>
      <c r="F47" s="69"/>
      <c r="G47" s="69"/>
      <c r="I47" s="67"/>
      <c r="J47" s="67"/>
    </row>
    <row r="48" spans="1:10" ht="13.8">
      <c r="A48" s="20" t="s">
        <v>57</v>
      </c>
      <c r="B48" s="37">
        <f>Contents!A16</f>
        <v>45457</v>
      </c>
      <c r="C48" s="15"/>
      <c r="D48" s="15"/>
      <c r="E48" s="15"/>
      <c r="F48" s="69"/>
      <c r="G48" s="69"/>
      <c r="I48" s="70"/>
      <c r="J48" s="70"/>
    </row>
    <row r="49" spans="2:10" ht="13.8">
      <c r="F49" s="69"/>
      <c r="G49" s="69"/>
      <c r="I49" s="70"/>
      <c r="J49" s="70"/>
    </row>
    <row r="50" spans="2:10" ht="13.8">
      <c r="B50" s="64"/>
      <c r="F50" s="69"/>
      <c r="G50" s="69"/>
      <c r="I50" s="67"/>
      <c r="J50" s="67"/>
    </row>
    <row r="51" spans="2:10">
      <c r="B51" s="96"/>
      <c r="I51" s="67"/>
      <c r="J51" s="67"/>
    </row>
    <row r="52" spans="2:10">
      <c r="I52" s="67"/>
      <c r="J52" s="67"/>
    </row>
    <row r="53" spans="2:10">
      <c r="I53" s="67"/>
      <c r="J53" s="67"/>
    </row>
    <row r="54" spans="2:10">
      <c r="I54" s="67"/>
      <c r="J54" s="67"/>
    </row>
    <row r="55" spans="2:10">
      <c r="I55" s="67"/>
      <c r="J55" s="67"/>
    </row>
    <row r="57" spans="2:10">
      <c r="I57" s="71"/>
      <c r="J57" s="71"/>
    </row>
    <row r="58" spans="2:10">
      <c r="I58" s="71"/>
      <c r="J58" s="71"/>
    </row>
  </sheetData>
  <phoneticPr fontId="45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9DCDF-CE14-451D-B4B7-C1496B6C7095}">
  <dimension ref="A1:H81"/>
  <sheetViews>
    <sheetView zoomScale="120" zoomScaleNormal="120" workbookViewId="0">
      <selection activeCell="H1" sqref="H1"/>
    </sheetView>
  </sheetViews>
  <sheetFormatPr defaultColWidth="9.109375" defaultRowHeight="13.2"/>
  <cols>
    <col min="1" max="1" width="13.44140625" style="149" bestFit="1" customWidth="1"/>
    <col min="2" max="2" width="13.44140625" style="150" bestFit="1" customWidth="1"/>
    <col min="3" max="3" width="12.33203125" style="150" bestFit="1" customWidth="1"/>
    <col min="4" max="16384" width="9.109375" style="150"/>
  </cols>
  <sheetData>
    <row r="1" spans="1:4">
      <c r="A1" s="168" t="s">
        <v>159</v>
      </c>
      <c r="B1" s="163" t="s">
        <v>37</v>
      </c>
      <c r="C1" s="163" t="s">
        <v>54</v>
      </c>
    </row>
    <row r="2" spans="1:4">
      <c r="A2" s="167" t="s">
        <v>160</v>
      </c>
      <c r="B2" s="166">
        <v>954.06554046994665</v>
      </c>
      <c r="C2" s="166">
        <v>1314.2326435078578</v>
      </c>
    </row>
    <row r="3" spans="1:4">
      <c r="A3" s="167" t="s">
        <v>161</v>
      </c>
      <c r="B3" s="166">
        <v>1190.1744501286107</v>
      </c>
      <c r="C3" s="166">
        <v>1466.7397281001088</v>
      </c>
      <c r="D3" s="152"/>
    </row>
    <row r="4" spans="1:4">
      <c r="A4" s="167" t="s">
        <v>162</v>
      </c>
      <c r="B4" s="166">
        <v>1192.1802157882867</v>
      </c>
      <c r="C4" s="166">
        <v>1596.7440091477577</v>
      </c>
      <c r="D4" s="152"/>
    </row>
    <row r="5" spans="1:4">
      <c r="A5" s="167" t="s">
        <v>163</v>
      </c>
      <c r="B5" s="166">
        <v>1548.3308271059509</v>
      </c>
      <c r="C5" s="166">
        <v>1516.8416510688357</v>
      </c>
      <c r="D5" s="152"/>
    </row>
    <row r="6" spans="1:4">
      <c r="A6" s="167" t="s">
        <v>164</v>
      </c>
      <c r="B6" s="166">
        <v>1019.8292127622847</v>
      </c>
      <c r="C6" s="166">
        <v>1505.2282502623307</v>
      </c>
      <c r="D6" s="152"/>
    </row>
    <row r="7" spans="1:4">
      <c r="A7" s="167" t="s">
        <v>166</v>
      </c>
      <c r="B7" s="166">
        <v>1472.8462020641157</v>
      </c>
      <c r="C7" s="166">
        <v>1652.1387901025805</v>
      </c>
      <c r="D7" s="152"/>
    </row>
    <row r="8" spans="1:4">
      <c r="A8" s="167" t="s">
        <v>167</v>
      </c>
      <c r="B8" s="166">
        <v>1244.123880493762</v>
      </c>
      <c r="C8" s="166">
        <v>1385.8039531680615</v>
      </c>
      <c r="D8" s="152"/>
    </row>
    <row r="9" spans="1:4">
      <c r="A9" s="167" t="s">
        <v>48</v>
      </c>
      <c r="B9" s="166">
        <v>1191.1126272845518</v>
      </c>
      <c r="C9" s="165"/>
      <c r="D9" s="152"/>
    </row>
    <row r="10" spans="1:4">
      <c r="A10" s="167" t="s">
        <v>168</v>
      </c>
      <c r="B10" s="166">
        <v>1388.8616545108707</v>
      </c>
      <c r="C10" s="166"/>
    </row>
    <row r="11" spans="1:4">
      <c r="A11" s="167" t="s">
        <v>169</v>
      </c>
      <c r="B11" s="166">
        <v>1194.2130983061886</v>
      </c>
      <c r="C11" s="166"/>
      <c r="D11" s="156"/>
    </row>
    <row r="12" spans="1:4">
      <c r="A12" s="167" t="s">
        <v>165</v>
      </c>
      <c r="B12" s="166">
        <v>1177.8298862301829</v>
      </c>
      <c r="C12" s="166"/>
    </row>
    <row r="13" spans="1:4">
      <c r="A13" s="167" t="s">
        <v>170</v>
      </c>
      <c r="B13" s="166">
        <v>1089.9406213235247</v>
      </c>
      <c r="C13" s="166"/>
    </row>
    <row r="14" spans="1:4">
      <c r="A14" s="151"/>
      <c r="B14" s="153"/>
      <c r="C14" s="153"/>
    </row>
    <row r="15" spans="1:4">
      <c r="A15" s="151"/>
      <c r="B15" s="153"/>
      <c r="C15" s="182"/>
    </row>
    <row r="16" spans="1:4">
      <c r="A16" s="151"/>
      <c r="B16" s="153"/>
      <c r="C16" s="153"/>
    </row>
    <row r="17" spans="1:8">
      <c r="A17" s="151"/>
      <c r="B17" s="153"/>
      <c r="C17" s="153"/>
    </row>
    <row r="18" spans="1:8" ht="15">
      <c r="A18" s="159"/>
      <c r="B18" s="171"/>
      <c r="C18" s="171"/>
      <c r="D18" s="159"/>
      <c r="E18" s="159"/>
      <c r="F18" s="159"/>
      <c r="G18" s="159"/>
    </row>
    <row r="19" spans="1:8" ht="15">
      <c r="A19" s="164"/>
      <c r="B19" s="171"/>
      <c r="C19" s="171"/>
      <c r="D19" s="160"/>
      <c r="E19" s="160"/>
      <c r="F19" s="160"/>
      <c r="G19" s="160"/>
      <c r="H19" s="160"/>
    </row>
    <row r="20" spans="1:8" ht="15">
      <c r="A20" s="164"/>
      <c r="B20" s="171"/>
      <c r="C20" s="171"/>
      <c r="D20" s="160"/>
      <c r="E20" s="160"/>
      <c r="F20" s="160"/>
      <c r="G20" s="160"/>
      <c r="H20" s="160"/>
    </row>
    <row r="21" spans="1:8" ht="15">
      <c r="A21" s="164"/>
      <c r="B21" s="171"/>
      <c r="C21" s="171"/>
      <c r="D21" s="160"/>
      <c r="E21" s="160"/>
      <c r="F21" s="160"/>
      <c r="G21" s="161"/>
      <c r="H21" s="160"/>
    </row>
    <row r="22" spans="1:8" ht="15.6">
      <c r="A22" s="164"/>
      <c r="B22" s="171"/>
      <c r="C22" s="171"/>
      <c r="D22" s="162"/>
      <c r="E22" s="160"/>
      <c r="F22" s="160"/>
      <c r="G22" s="160"/>
      <c r="H22" s="160"/>
    </row>
    <row r="23" spans="1:8">
      <c r="B23" s="171"/>
      <c r="C23" s="171"/>
    </row>
    <row r="24" spans="1:8">
      <c r="B24" s="171"/>
      <c r="C24" s="171"/>
    </row>
    <row r="25" spans="1:8">
      <c r="B25" s="171"/>
      <c r="C25" s="171"/>
      <c r="D25"/>
    </row>
    <row r="26" spans="1:8">
      <c r="B26" s="171"/>
      <c r="C26" s="171"/>
    </row>
    <row r="27" spans="1:8">
      <c r="B27" s="171"/>
      <c r="C27" s="171"/>
    </row>
    <row r="28" spans="1:8">
      <c r="C28" s="154"/>
    </row>
    <row r="29" spans="1:8">
      <c r="C29" s="154"/>
    </row>
    <row r="30" spans="1:8">
      <c r="C30" s="154"/>
    </row>
    <row r="31" spans="1:8">
      <c r="C31" s="154"/>
    </row>
    <row r="32" spans="1:8">
      <c r="C32" s="154"/>
    </row>
    <row r="33" spans="3:3">
      <c r="C33" s="154"/>
    </row>
    <row r="34" spans="3:3">
      <c r="C34" s="154"/>
    </row>
    <row r="35" spans="3:3">
      <c r="C35" s="154"/>
    </row>
    <row r="36" spans="3:3">
      <c r="C36" s="154"/>
    </row>
    <row r="37" spans="3:3">
      <c r="C37" s="154"/>
    </row>
    <row r="38" spans="3:3">
      <c r="C38" s="154"/>
    </row>
    <row r="39" spans="3:3">
      <c r="C39" s="154"/>
    </row>
    <row r="40" spans="3:3">
      <c r="C40" s="154"/>
    </row>
    <row r="41" spans="3:3">
      <c r="C41" s="154"/>
    </row>
    <row r="42" spans="3:3">
      <c r="C42" s="154"/>
    </row>
    <row r="43" spans="3:3">
      <c r="C43" s="154"/>
    </row>
    <row r="44" spans="3:3">
      <c r="C44" s="154"/>
    </row>
    <row r="45" spans="3:3">
      <c r="C45" s="154"/>
    </row>
    <row r="46" spans="3:3">
      <c r="C46" s="154"/>
    </row>
    <row r="47" spans="3:3">
      <c r="C47" s="154"/>
    </row>
    <row r="48" spans="3:3">
      <c r="C48" s="154"/>
    </row>
    <row r="49" spans="3:3">
      <c r="C49" s="154"/>
    </row>
    <row r="50" spans="3:3">
      <c r="C50" s="154"/>
    </row>
    <row r="51" spans="3:3">
      <c r="C51" s="154"/>
    </row>
    <row r="52" spans="3:3">
      <c r="C52" s="154"/>
    </row>
    <row r="53" spans="3:3">
      <c r="C53" s="154"/>
    </row>
    <row r="54" spans="3:3">
      <c r="C54" s="154"/>
    </row>
    <row r="55" spans="3:3">
      <c r="C55" s="154"/>
    </row>
    <row r="56" spans="3:3">
      <c r="C56" s="154"/>
    </row>
    <row r="57" spans="3:3">
      <c r="C57" s="154"/>
    </row>
    <row r="58" spans="3:3">
      <c r="C58" s="154"/>
    </row>
    <row r="59" spans="3:3">
      <c r="C59" s="154"/>
    </row>
    <row r="60" spans="3:3">
      <c r="C60" s="154"/>
    </row>
    <row r="61" spans="3:3">
      <c r="C61" s="154"/>
    </row>
    <row r="62" spans="3:3">
      <c r="C62" s="154"/>
    </row>
    <row r="63" spans="3:3">
      <c r="C63" s="154"/>
    </row>
    <row r="64" spans="3:3">
      <c r="C64" s="154"/>
    </row>
    <row r="65" spans="3:3">
      <c r="C65" s="154"/>
    </row>
    <row r="66" spans="3:3">
      <c r="C66" s="154"/>
    </row>
    <row r="67" spans="3:3">
      <c r="C67" s="154"/>
    </row>
    <row r="68" spans="3:3">
      <c r="C68" s="154"/>
    </row>
    <row r="69" spans="3:3">
      <c r="C69" s="154"/>
    </row>
    <row r="70" spans="3:3">
      <c r="C70" s="154"/>
    </row>
    <row r="71" spans="3:3">
      <c r="C71" s="154"/>
    </row>
    <row r="72" spans="3:3">
      <c r="C72" s="154"/>
    </row>
    <row r="73" spans="3:3">
      <c r="C73" s="154"/>
    </row>
    <row r="74" spans="3:3">
      <c r="C74" s="154"/>
    </row>
    <row r="75" spans="3:3">
      <c r="C75" s="154"/>
    </row>
    <row r="76" spans="3:3">
      <c r="C76" s="154"/>
    </row>
    <row r="77" spans="3:3">
      <c r="C77" s="154"/>
    </row>
    <row r="78" spans="3:3">
      <c r="C78" s="154"/>
    </row>
    <row r="79" spans="3:3">
      <c r="C79" s="154"/>
    </row>
    <row r="80" spans="3:3">
      <c r="C80" s="154"/>
    </row>
    <row r="81" spans="3:3">
      <c r="C81" s="15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http://purl.org/dc/elements/1.1/"/>
    <ds:schemaRef ds:uri="7818c5c2-d41f-4dce-801c-4e3595afcb3f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49de858-f9fd-4eb6-bcba-50396646711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 Bryn Swearingen</dc:creator>
  <cp:keywords>oil crops, outlook, soybeans, soybean meal, soybean oil, cottonseed, sunflowerseed, sunflowerseed oil, peanuts, canola, canola oil, supply, disappearance, price</cp:keywords>
  <dc:description/>
  <cp:lastModifiedBy>Bukowski, Maria - REE-ERS</cp:lastModifiedBy>
  <cp:revision/>
  <dcterms:created xsi:type="dcterms:W3CDTF">2001-11-13T16:22:15Z</dcterms:created>
  <dcterms:modified xsi:type="dcterms:W3CDTF">2024-06-13T21:28:15Z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