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CROPS\Oil Crops\Oil Crops Outlook Files MASH\Outlook reports\September 2021\"/>
    </mc:Choice>
  </mc:AlternateContent>
  <xr:revisionPtr revIDLastSave="0" documentId="13_ncr:1_{64AB8768-41D7-4575-BDE3-C816A8D4F899}" xr6:coauthVersionLast="46" xr6:coauthVersionMax="46" xr10:uidLastSave="{00000000-0000-0000-0000-000000000000}"/>
  <bookViews>
    <workbookView xWindow="-120" yWindow="-120" windowWidth="20730" windowHeight="1116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42" r:id="rId9"/>
    <sheet name="Figure 1" sheetId="38" r:id="rId10"/>
  </sheets>
  <definedNames>
    <definedName name="_xlnm.Print_Area" localSheetId="1">'Table 1'!$A$1:$N$47</definedName>
    <definedName name="_xlnm.Print_Area" localSheetId="7">'Table 10'!$A$1:$G$47</definedName>
    <definedName name="_xlnm.Print_Area" localSheetId="2">'Table 2'!$A$1:$J$38</definedName>
    <definedName name="_xlnm.Print_Area" localSheetId="3">'Table 3'!$A$1:$L$51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3" l="1"/>
  <c r="G31" i="3"/>
  <c r="E31" i="3"/>
  <c r="J6" i="3"/>
  <c r="I19" i="3"/>
  <c r="H44" i="3"/>
  <c r="D44" i="3"/>
  <c r="J36" i="9" l="1"/>
  <c r="H36" i="9"/>
  <c r="D36" i="9"/>
  <c r="C36" i="9"/>
  <c r="K35" i="9"/>
  <c r="J35" i="9"/>
  <c r="G35" i="9"/>
  <c r="E35" i="9"/>
  <c r="D35" i="9"/>
  <c r="B35" i="9"/>
  <c r="I36" i="2"/>
  <c r="H36" i="2"/>
  <c r="G36" i="2"/>
  <c r="D36" i="2"/>
  <c r="C36" i="2"/>
  <c r="I35" i="2"/>
  <c r="H35" i="2"/>
  <c r="G35" i="2" s="1"/>
  <c r="E35" i="2"/>
  <c r="D35" i="2"/>
  <c r="B35" i="2"/>
  <c r="L44" i="1"/>
  <c r="J44" i="1"/>
  <c r="G44" i="1"/>
  <c r="L45" i="1" l="1"/>
  <c r="J45" i="1"/>
  <c r="G45" i="1"/>
  <c r="L6" i="9"/>
  <c r="D46" i="3" l="1"/>
  <c r="B21" i="3"/>
  <c r="B20" i="3"/>
  <c r="B8" i="9"/>
  <c r="B7" i="9"/>
  <c r="D8" i="1"/>
  <c r="J34" i="9"/>
  <c r="E34" i="9"/>
  <c r="K34" i="9" s="1"/>
  <c r="D34" i="9"/>
  <c r="I34" i="2"/>
  <c r="H34" i="2"/>
  <c r="G34" i="2"/>
  <c r="E34" i="2"/>
  <c r="D34" i="2"/>
  <c r="L43" i="1"/>
  <c r="G43" i="1"/>
  <c r="B34" i="9"/>
  <c r="B34" i="2"/>
  <c r="J43" i="1"/>
  <c r="G34" i="9" l="1"/>
  <c r="K36" i="9"/>
  <c r="L44" i="3"/>
  <c r="J33" i="9"/>
  <c r="J32" i="9"/>
  <c r="J31" i="9"/>
  <c r="J30" i="9"/>
  <c r="J29" i="9"/>
  <c r="J28" i="9"/>
  <c r="J27" i="9"/>
  <c r="J26" i="9"/>
  <c r="D33" i="9"/>
  <c r="D32" i="9"/>
  <c r="D31" i="9"/>
  <c r="D30" i="9"/>
  <c r="D29" i="9"/>
  <c r="D28" i="9"/>
  <c r="D27" i="9"/>
  <c r="D26" i="9"/>
  <c r="J22" i="9"/>
  <c r="J21" i="9"/>
  <c r="J20" i="9"/>
  <c r="J19" i="9"/>
  <c r="J18" i="9"/>
  <c r="J17" i="9"/>
  <c r="J16" i="9"/>
  <c r="J15" i="9"/>
  <c r="J14" i="9"/>
  <c r="J13" i="9"/>
  <c r="J12" i="9"/>
  <c r="J11" i="9"/>
  <c r="D22" i="9"/>
  <c r="D21" i="9"/>
  <c r="D20" i="9"/>
  <c r="D19" i="9"/>
  <c r="D18" i="9"/>
  <c r="D17" i="9"/>
  <c r="D16" i="9"/>
  <c r="D15" i="9"/>
  <c r="D14" i="9"/>
  <c r="D13" i="9"/>
  <c r="D12" i="9"/>
  <c r="D11" i="9"/>
  <c r="I34" i="9" l="1"/>
  <c r="I36" i="9" s="1"/>
  <c r="G36" i="9"/>
  <c r="H33" i="2"/>
  <c r="H32" i="2"/>
  <c r="H31" i="2"/>
  <c r="H30" i="2"/>
  <c r="H29" i="2"/>
  <c r="H28" i="2"/>
  <c r="H27" i="2"/>
  <c r="H26" i="2"/>
  <c r="D33" i="2"/>
  <c r="D32" i="2"/>
  <c r="D31" i="2"/>
  <c r="D30" i="2"/>
  <c r="D29" i="2"/>
  <c r="D28" i="2"/>
  <c r="D27" i="2"/>
  <c r="D26" i="2"/>
  <c r="H22" i="2"/>
  <c r="H21" i="2"/>
  <c r="H20" i="2"/>
  <c r="H19" i="2"/>
  <c r="H18" i="2"/>
  <c r="H17" i="2"/>
  <c r="H16" i="2"/>
  <c r="H15" i="2"/>
  <c r="H14" i="2"/>
  <c r="H13" i="2"/>
  <c r="H12" i="2"/>
  <c r="H11" i="2"/>
  <c r="D22" i="2"/>
  <c r="D21" i="2"/>
  <c r="D20" i="2"/>
  <c r="D19" i="2"/>
  <c r="D18" i="2"/>
  <c r="D17" i="2"/>
  <c r="D16" i="2"/>
  <c r="D15" i="2"/>
  <c r="D14" i="2"/>
  <c r="D13" i="2"/>
  <c r="D12" i="2"/>
  <c r="D11" i="2"/>
  <c r="M8" i="1"/>
  <c r="M7" i="1"/>
  <c r="N7" i="1" s="1"/>
  <c r="L41" i="1" l="1"/>
  <c r="L40" i="1"/>
  <c r="L39" i="1"/>
  <c r="L37" i="1"/>
  <c r="L36" i="1"/>
  <c r="L35" i="1"/>
  <c r="L33" i="1"/>
  <c r="L32" i="1"/>
  <c r="L31" i="1"/>
  <c r="G41" i="1"/>
  <c r="G40" i="1"/>
  <c r="G39" i="1"/>
  <c r="G37" i="1"/>
  <c r="G36" i="1"/>
  <c r="G35" i="1"/>
  <c r="G33" i="1"/>
  <c r="G32" i="1"/>
  <c r="G31" i="1"/>
  <c r="J26" i="1"/>
  <c r="J25" i="1"/>
  <c r="J24" i="1"/>
  <c r="J22" i="1"/>
  <c r="J21" i="1"/>
  <c r="J20" i="1"/>
  <c r="J18" i="1"/>
  <c r="J17" i="1"/>
  <c r="J16" i="1"/>
  <c r="J14" i="1"/>
  <c r="J13" i="1"/>
  <c r="J12" i="1"/>
  <c r="J41" i="1"/>
  <c r="J40" i="1"/>
  <c r="J39" i="1"/>
  <c r="J37" i="1"/>
  <c r="J36" i="1"/>
  <c r="J35" i="1"/>
  <c r="J33" i="1"/>
  <c r="J32" i="1"/>
  <c r="J31" i="1"/>
  <c r="L26" i="1"/>
  <c r="L25" i="1"/>
  <c r="L24" i="1"/>
  <c r="L22" i="1"/>
  <c r="L21" i="1"/>
  <c r="L20" i="1"/>
  <c r="L18" i="1"/>
  <c r="L17" i="1"/>
  <c r="L16" i="1"/>
  <c r="L14" i="1"/>
  <c r="L13" i="1"/>
  <c r="G26" i="1"/>
  <c r="G25" i="1"/>
  <c r="G24" i="1"/>
  <c r="G22" i="1"/>
  <c r="G21" i="1"/>
  <c r="G20" i="1"/>
  <c r="G18" i="1"/>
  <c r="G17" i="1"/>
  <c r="G16" i="1"/>
  <c r="G14" i="1"/>
  <c r="G13" i="1"/>
  <c r="L12" i="1"/>
  <c r="G12" i="1"/>
  <c r="J19" i="1" l="1"/>
  <c r="D23" i="9"/>
  <c r="D6" i="9" s="1"/>
  <c r="H23" i="9"/>
  <c r="H6" i="9" s="1"/>
  <c r="J23" i="9"/>
  <c r="J6" i="9" s="1"/>
  <c r="I6" i="1"/>
  <c r="E34" i="1" l="1"/>
  <c r="I32" i="9" l="1"/>
  <c r="B33" i="9"/>
  <c r="B33" i="2"/>
  <c r="E33" i="2" s="1"/>
  <c r="E42" i="1"/>
  <c r="G42" i="1"/>
  <c r="H42" i="1" l="1"/>
  <c r="M42" i="1" s="1"/>
  <c r="E33" i="9"/>
  <c r="K33" i="9" s="1"/>
  <c r="G33" i="9" s="1"/>
  <c r="I33" i="2"/>
  <c r="G33" i="2" s="1"/>
  <c r="B39" i="9"/>
  <c r="I33" i="9" l="1"/>
  <c r="I21" i="3"/>
  <c r="I20" i="3"/>
  <c r="B8" i="2" l="1"/>
  <c r="L42" i="1" l="1"/>
  <c r="B32" i="9" l="1"/>
  <c r="E32" i="9" s="1"/>
  <c r="J42" i="1"/>
  <c r="K42" i="1" s="1"/>
  <c r="B32" i="2"/>
  <c r="E32" i="2" s="1"/>
  <c r="K32" i="9" l="1"/>
  <c r="I32" i="2"/>
  <c r="G32" i="2" l="1"/>
  <c r="A5" i="10" l="1"/>
  <c r="B31" i="9" l="1"/>
  <c r="E31" i="9" s="1"/>
  <c r="K31" i="9" s="1"/>
  <c r="B31" i="2"/>
  <c r="E31" i="2"/>
  <c r="E8" i="2"/>
  <c r="E8" i="9"/>
  <c r="K8" i="9" s="1"/>
  <c r="G8" i="9" s="1"/>
  <c r="I8" i="9" s="1"/>
  <c r="I8" i="2" l="1"/>
  <c r="G8" i="2" s="1"/>
  <c r="I31" i="2"/>
  <c r="G31" i="2" s="1"/>
  <c r="B8" i="3"/>
  <c r="E8" i="3" s="1"/>
  <c r="E21" i="3"/>
  <c r="B33" i="3"/>
  <c r="E46" i="3"/>
  <c r="H46" i="3" s="1"/>
  <c r="N46" i="3" s="1"/>
  <c r="L46" i="3" s="1"/>
  <c r="D45" i="3"/>
  <c r="E33" i="3" l="1"/>
  <c r="I33" i="3" s="1"/>
  <c r="G33" i="3" s="1"/>
  <c r="B30" i="2"/>
  <c r="E38" i="1"/>
  <c r="E30" i="2" l="1"/>
  <c r="I30" i="2" l="1"/>
  <c r="G30" i="2" s="1"/>
  <c r="E7" i="9"/>
  <c r="K7" i="9" s="1"/>
  <c r="G7" i="9" s="1"/>
  <c r="I7" i="9" s="1"/>
  <c r="E20" i="3"/>
  <c r="B30" i="9"/>
  <c r="E30" i="9" s="1"/>
  <c r="K30" i="9" s="1"/>
  <c r="B48" i="5" l="1"/>
  <c r="L38" i="1" l="1"/>
  <c r="G38" i="1"/>
  <c r="H38" i="1" s="1"/>
  <c r="M38" i="1" s="1"/>
  <c r="B29" i="2" l="1"/>
  <c r="E29" i="2" s="1"/>
  <c r="B29" i="9"/>
  <c r="E29" i="9" s="1"/>
  <c r="K29" i="9" s="1"/>
  <c r="J38" i="1"/>
  <c r="F45" i="1"/>
  <c r="I29" i="2" l="1"/>
  <c r="K38" i="1"/>
  <c r="G29" i="2" l="1"/>
  <c r="B28" i="9" l="1"/>
  <c r="E28" i="9" s="1"/>
  <c r="K28" i="9" s="1"/>
  <c r="B28" i="2" l="1"/>
  <c r="E28" i="2" s="1"/>
  <c r="I28" i="2" l="1"/>
  <c r="G28" i="2" s="1"/>
  <c r="L34" i="1"/>
  <c r="B27" i="9" l="1"/>
  <c r="E27" i="9" s="1"/>
  <c r="K27" i="9" s="1"/>
  <c r="B27" i="2"/>
  <c r="E27" i="2" s="1"/>
  <c r="I27" i="2" l="1"/>
  <c r="G27" i="2" s="1"/>
  <c r="J34" i="1"/>
  <c r="B26" i="2"/>
  <c r="E36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C23" i="9"/>
  <c r="C6" i="9" s="1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B11" i="9"/>
  <c r="B6" i="9" s="1"/>
  <c r="E23" i="9" l="1"/>
  <c r="E6" i="9" s="1"/>
  <c r="E11" i="2"/>
  <c r="I11" i="2" s="1"/>
  <c r="G11" i="2" s="1"/>
  <c r="B6" i="2"/>
  <c r="K19" i="9"/>
  <c r="G19" i="9" s="1"/>
  <c r="I19" i="9" s="1"/>
  <c r="D23" i="2"/>
  <c r="D6" i="2" s="1"/>
  <c r="H23" i="2"/>
  <c r="H6" i="2" s="1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4" i="1"/>
  <c r="H45" i="1" l="1"/>
  <c r="H34" i="1"/>
  <c r="M34" i="1" s="1"/>
  <c r="M45" i="1" s="1"/>
  <c r="G11" i="9"/>
  <c r="K34" i="1" l="1"/>
  <c r="K45" i="1" s="1"/>
  <c r="B26" i="9"/>
  <c r="E36" i="9" s="1"/>
  <c r="K22" i="9"/>
  <c r="I11" i="9"/>
  <c r="G22" i="9" l="1"/>
  <c r="G23" i="9" s="1"/>
  <c r="K23" i="9"/>
  <c r="K6" i="9" s="1"/>
  <c r="F15" i="1"/>
  <c r="I22" i="9" l="1"/>
  <c r="I23" i="9" s="1"/>
  <c r="I6" i="9" s="1"/>
  <c r="G6" i="9"/>
  <c r="E27" i="1"/>
  <c r="F28" i="1" l="1"/>
  <c r="F6" i="1" s="1"/>
  <c r="L27" i="1" l="1"/>
  <c r="G27" i="1"/>
  <c r="H27" i="1" s="1"/>
  <c r="M27" i="1" s="1"/>
  <c r="J27" i="1" l="1"/>
  <c r="K27" i="1" s="1"/>
  <c r="E23" i="1" l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L23" i="1"/>
  <c r="G23" i="1" l="1"/>
  <c r="H23" i="1" l="1"/>
  <c r="M23" i="1" s="1"/>
  <c r="J23" i="1"/>
  <c r="K23" i="1" l="1"/>
  <c r="D7" i="1" l="1"/>
  <c r="E19" i="1" l="1"/>
  <c r="B50" i="3" l="1"/>
  <c r="L19" i="1" l="1"/>
  <c r="G19" i="1"/>
  <c r="H19" i="1" l="1"/>
  <c r="M19" i="1" s="1"/>
  <c r="K19" i="1" s="1"/>
  <c r="G22" i="6" l="1"/>
  <c r="L15" i="1" l="1"/>
  <c r="L28" i="1" s="1"/>
  <c r="L6" i="1" s="1"/>
  <c r="G15" i="1"/>
  <c r="G28" i="1" s="1"/>
  <c r="G6" i="1" s="1"/>
  <c r="H28" i="1" l="1"/>
  <c r="H6" i="1" s="1"/>
  <c r="J15" i="1"/>
  <c r="J28" i="1" s="1"/>
  <c r="J6" i="1" s="1"/>
  <c r="H15" i="1"/>
  <c r="E26" i="9" l="1"/>
  <c r="M15" i="1"/>
  <c r="M28" i="1" s="1"/>
  <c r="M6" i="1" s="1"/>
  <c r="N6" i="1" s="1"/>
  <c r="E7" i="1" s="1"/>
  <c r="H7" i="1" s="1"/>
  <c r="E8" i="1" s="1"/>
  <c r="H8" i="1" s="1"/>
  <c r="N8" i="1" s="1"/>
  <c r="E26" i="2"/>
  <c r="B48" i="1"/>
  <c r="K26" i="9" l="1"/>
  <c r="I26" i="2"/>
  <c r="G26" i="2"/>
  <c r="K15" i="1"/>
  <c r="K28" i="1" s="1"/>
  <c r="K6" i="1" s="1"/>
  <c r="B49" i="6" l="1"/>
  <c r="B48" i="4"/>
  <c r="B39" i="2"/>
  <c r="C23" i="2" l="1"/>
  <c r="E23" i="2" l="1"/>
  <c r="E6" i="2" s="1"/>
  <c r="C6" i="2"/>
  <c r="I23" i="2"/>
  <c r="I6" i="2" s="1"/>
  <c r="G23" i="2"/>
  <c r="G6" i="2" s="1"/>
  <c r="J6" i="2" l="1"/>
  <c r="B7" i="2" s="1"/>
  <c r="E7" i="2" s="1"/>
  <c r="I7" i="2" s="1"/>
  <c r="G7" i="2" l="1"/>
  <c r="J8" i="3" l="1"/>
  <c r="I7" i="3"/>
</calcChain>
</file>

<file path=xl/sharedStrings.xml><?xml version="1.0" encoding="utf-8"?>
<sst xmlns="http://schemas.openxmlformats.org/spreadsheetml/2006/main" count="535" uniqueCount="177">
  <si>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</si>
  <si>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</si>
  <si>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</si>
  <si>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</si>
  <si>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</si>
  <si>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</si>
  <si>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</si>
  <si>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</si>
  <si>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</si>
  <si>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</si>
  <si>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</si>
  <si>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</si>
  <si>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</si>
  <si>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</si>
  <si>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</si>
  <si>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</si>
  <si>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</si>
  <si>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</si>
  <si>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</si>
  <si>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</si>
  <si>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</si>
  <si>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</si>
  <si>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</si>
  <si>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</si>
  <si>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</si>
  <si>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</si>
  <si>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</si>
  <si>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</si>
  <si>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</si>
  <si>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</si>
  <si>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</si>
  <si>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</si>
  <si>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</si>
  <si>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</si>
  <si>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</si>
  <si>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</si>
  <si>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</si>
  <si>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</si>
  <si>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</si>
  <si>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</si>
  <si>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</si>
  <si>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</si>
  <si>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</si>
  <si>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</si>
  <si>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</si>
  <si>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</si>
  <si>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</si>
  <si>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</si>
  <si>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</si>
  <si>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</si>
  <si>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</si>
  <si>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</si>
  <si>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</si>
  <si>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</si>
  <si>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</si>
  <si>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</si>
  <si>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</si>
  <si>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</si>
  <si>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</si>
  <si>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</si>
  <si>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</si>
  <si>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</si>
  <si>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</si>
  <si>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</si>
  <si>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</si>
  <si>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</si>
  <si>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</si>
  <si>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</si>
  <si>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</si>
  <si>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</si>
  <si>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</si>
  <si>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</si>
  <si>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</si>
  <si>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</si>
  <si>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</si>
  <si>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</si>
  <si>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</si>
  <si>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</si>
  <si>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</si>
  <si>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</si>
  <si>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</si>
  <si>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</si>
  <si>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</si>
  <si>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</si>
  <si>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</si>
  <si>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</si>
  <si>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</si>
  <si>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</si>
  <si>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</si>
  <si>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</si>
  <si>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</si>
  <si>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</si>
  <si>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</si>
  <si>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</si>
  <si>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</si>
  <si>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</si>
  <si>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</si>
  <si>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</si>
  <si>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</si>
  <si>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</si>
  <si>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</si>
  <si>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</si>
  <si>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</si>
  <si>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</si>
  <si>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</si>
  <si>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</si>
  <si>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</si>
  <si>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</si>
  <si>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</si>
  <si>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</si>
  <si>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</si>
  <si>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</si>
  <si>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</si>
  <si>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</si>
  <si>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</si>
  <si>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</si>
  <si>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</si>
  <si>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</si>
  <si>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</si>
  <si>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</si>
  <si>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</si>
  <si>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</si>
  <si>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</si>
  <si>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</si>
  <si>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</si>
  <si>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</si>
  <si>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</si>
  <si>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</si>
  <si>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</si>
  <si>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</si>
  <si>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</si>
  <si>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</si>
  <si>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</si>
  <si>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</si>
  <si>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</si>
  <si>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</si>
  <si>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</si>
  <si>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</si>
  <si>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</si>
  <si>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</si>
  <si>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</si>
  <si>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</si>
  <si>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</si>
  <si>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</si>
  <si>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</si>
  <si>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</si>
  <si>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</si>
  <si>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</si>
  <si>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</si>
  <si>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</si>
  <si>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</si>
  <si>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</si>
  <si>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</si>
  <si>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</si>
  <si>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</si>
  <si>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</si>
  <si>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Biofuel</t>
    </r>
    <r>
      <rPr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</si>
  <si>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 Note: 1 metric ton equals 2,204.622 pounds. NA: Not available.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</si>
  <si>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</si>
  <si>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</si>
  <si>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</si>
  <si>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</si>
  <si>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 xml:space="preserve">Contact: Aaron Ates </t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</si>
  <si>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; USDA, Agricultural Marketing Service, </t>
    </r>
    <r>
      <rPr>
        <i/>
        <sz val="11"/>
        <rFont val="Arial"/>
        <family val="2"/>
      </rPr>
      <t>USDA Tallow &amp;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</si>
  <si>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>Food &amp; other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</si>
  <si>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</si>
  <si>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t>Week of 2020/21 Marketing Year</t>
  </si>
  <si>
    <t>Date</t>
  </si>
  <si>
    <t>Vegetable Oil Prices, cents per pound</t>
  </si>
  <si>
    <t>Soybean oil</t>
  </si>
  <si>
    <t>Cottonseed oil</t>
  </si>
  <si>
    <t>Canola oil</t>
  </si>
  <si>
    <t>Peanut oil</t>
  </si>
  <si>
    <t>Corn oil</t>
  </si>
  <si>
    <t>Argentina soybean oil export price</t>
  </si>
  <si>
    <t>Argentina soybean oil export price + U.S. import tariff cost</t>
  </si>
  <si>
    <t>U.S. soybean oil export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</si>
</sst>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2" formatCode="#,##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2" fillId="0" borderId="0"/>
    <xf numFmtId="0" fontId="7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77">
    <xf numFmtId="0" fontId="0" fillId="0" borderId="0" xfId="0"/>
    <xf numFmtId="0" fontId="9" fillId="0" borderId="0" xfId="8" applyFont="1"/>
    <xf numFmtId="0" fontId="10" fillId="0" borderId="0" xfId="8" applyFont="1"/>
    <xf numFmtId="0" fontId="9" fillId="0" borderId="0" xfId="8" applyFont="1" applyFill="1"/>
    <xf numFmtId="0" fontId="9" fillId="0" borderId="0" xfId="8" quotePrefix="1" applyFont="1"/>
    <xf numFmtId="0" fontId="15" fillId="0" borderId="0" xfId="8" applyFont="1" applyFill="1"/>
    <xf numFmtId="0" fontId="16" fillId="0" borderId="0" xfId="8" applyFont="1"/>
    <xf numFmtId="0" fontId="17" fillId="0" borderId="0" xfId="0" applyFont="1"/>
    <xf numFmtId="169" fontId="17" fillId="0" borderId="1" xfId="1" applyNumberFormat="1" applyFont="1" applyFill="1" applyBorder="1" applyAlignment="1">
      <alignment horizontal="right"/>
    </xf>
    <xf numFmtId="169" fontId="17" fillId="0" borderId="0" xfId="1" applyNumberFormat="1" applyFont="1" applyFill="1" applyAlignment="1">
      <alignment horizontal="right" indent="1"/>
    </xf>
    <xf numFmtId="169" fontId="17" fillId="0" borderId="0" xfId="1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169" fontId="17" fillId="0" borderId="0" xfId="1" applyNumberFormat="1" applyFont="1" applyFill="1" applyBorder="1" applyAlignment="1">
      <alignment horizontal="right" indent="1"/>
    </xf>
    <xf numFmtId="0" fontId="17" fillId="0" borderId="0" xfId="8" applyFont="1" applyBorder="1" applyAlignment="1">
      <alignment vertical="top" wrapText="1"/>
    </xf>
    <xf numFmtId="0" fontId="23" fillId="0" borderId="0" xfId="7" applyFont="1" applyAlignment="1">
      <alignment horizontal="left"/>
    </xf>
    <xf numFmtId="0" fontId="26" fillId="0" borderId="0" xfId="5" applyFont="1" applyAlignment="1" applyProtection="1"/>
    <xf numFmtId="14" fontId="23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7" fillId="0" borderId="0" xfId="7" quotePrefix="1" applyFont="1" applyAlignment="1">
      <alignment horizontal="left"/>
    </xf>
    <xf numFmtId="0" fontId="17" fillId="0" borderId="0" xfId="8" applyFont="1" applyBorder="1" applyAlignment="1">
      <alignment wrapText="1"/>
    </xf>
    <xf numFmtId="0" fontId="2" fillId="0" borderId="0" xfId="29"/>
    <xf numFmtId="169" fontId="17" fillId="0" borderId="0" xfId="1" applyNumberFormat="1" applyFont="1" applyFill="1" applyBorder="1" applyAlignment="1">
      <alignment horizontal="right"/>
    </xf>
    <xf numFmtId="169" fontId="17" fillId="0" borderId="0" xfId="0" applyNumberFormat="1" applyFont="1" applyFill="1"/>
    <xf numFmtId="2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right" indent="2"/>
    </xf>
    <xf numFmtId="43" fontId="17" fillId="0" borderId="1" xfId="1" applyFont="1" applyFill="1" applyBorder="1" applyAlignment="1">
      <alignment horizontal="center"/>
    </xf>
    <xf numFmtId="0" fontId="17" fillId="0" borderId="1" xfId="0" applyFont="1" applyFill="1" applyBorder="1"/>
    <xf numFmtId="0" fontId="0" fillId="0" borderId="0" xfId="0" applyFill="1"/>
    <xf numFmtId="0" fontId="17" fillId="0" borderId="0" xfId="0" applyFont="1" applyFill="1"/>
    <xf numFmtId="0" fontId="17" fillId="0" borderId="2" xfId="0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0" fillId="0" borderId="2" xfId="0" applyFill="1" applyBorder="1"/>
    <xf numFmtId="0" fontId="17" fillId="0" borderId="0" xfId="0" applyFont="1" applyFill="1" applyBorder="1"/>
    <xf numFmtId="0" fontId="17" fillId="0" borderId="2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16" fontId="17" fillId="0" borderId="1" xfId="0" quotePrefix="1" applyNumberFormat="1" applyFont="1" applyFill="1" applyBorder="1"/>
    <xf numFmtId="16" fontId="17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8" fillId="0" borderId="3" xfId="0" quotePrefix="1" applyFont="1" applyFill="1" applyBorder="1" applyAlignment="1">
      <alignment horizontal="center"/>
    </xf>
    <xf numFmtId="0" fontId="18" fillId="0" borderId="0" xfId="0" quotePrefix="1" applyFont="1" applyFill="1" applyAlignment="1">
      <alignment horizontal="right"/>
    </xf>
    <xf numFmtId="167" fontId="17" fillId="0" borderId="0" xfId="0" applyNumberFormat="1" applyFont="1" applyFill="1" applyAlignment="1">
      <alignment horizontal="center"/>
    </xf>
    <xf numFmtId="165" fontId="17" fillId="0" borderId="0" xfId="1" applyNumberFormat="1" applyFont="1" applyFill="1" applyAlignment="1">
      <alignment horizontal="left"/>
    </xf>
    <xf numFmtId="165" fontId="17" fillId="0" borderId="0" xfId="1" applyNumberFormat="1" applyFont="1" applyFill="1" applyAlignment="1">
      <alignment horizontal="center"/>
    </xf>
    <xf numFmtId="3" fontId="17" fillId="0" borderId="0" xfId="1" applyNumberFormat="1" applyFont="1" applyFill="1" applyBorder="1" applyAlignment="1">
      <alignment horizontal="right" indent="1"/>
    </xf>
    <xf numFmtId="164" fontId="17" fillId="0" borderId="0" xfId="1" applyNumberFormat="1" applyFont="1" applyFill="1" applyBorder="1"/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169" fontId="17" fillId="0" borderId="0" xfId="1" quotePrefix="1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center"/>
    </xf>
    <xf numFmtId="164" fontId="17" fillId="0" borderId="0" xfId="1" quotePrefix="1" applyNumberFormat="1" applyFont="1" applyFill="1" applyBorder="1" applyAlignment="1">
      <alignment horizontal="center"/>
    </xf>
    <xf numFmtId="164" fontId="17" fillId="0" borderId="0" xfId="1" quotePrefix="1" applyNumberFormat="1" applyFont="1" applyFill="1" applyAlignment="1">
      <alignment horizontal="center"/>
    </xf>
    <xf numFmtId="169" fontId="17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7" fillId="0" borderId="0" xfId="0" applyNumberFormat="1" applyFont="1" applyFill="1"/>
    <xf numFmtId="0" fontId="9" fillId="0" borderId="1" xfId="0" applyFont="1" applyFill="1" applyBorder="1"/>
    <xf numFmtId="164" fontId="17" fillId="0" borderId="1" xfId="1" applyNumberFormat="1" applyFont="1" applyFill="1" applyBorder="1" applyAlignment="1">
      <alignment horizontal="center"/>
    </xf>
    <xf numFmtId="164" fontId="17" fillId="0" borderId="1" xfId="1" quotePrefix="1" applyNumberFormat="1" applyFont="1" applyFill="1" applyBorder="1" applyAlignment="1">
      <alignment horizontal="center"/>
    </xf>
    <xf numFmtId="169" fontId="17" fillId="0" borderId="1" xfId="1" applyNumberFormat="1" applyFont="1" applyFill="1" applyBorder="1" applyAlignment="1">
      <alignment horizontal="right" indent="1"/>
    </xf>
    <xf numFmtId="169" fontId="17" fillId="0" borderId="1" xfId="1" quotePrefix="1" applyNumberFormat="1" applyFont="1" applyFill="1" applyBorder="1" applyAlignment="1">
      <alignment horizontal="right"/>
    </xf>
    <xf numFmtId="0" fontId="19" fillId="0" borderId="0" xfId="0" applyFont="1" applyFill="1" applyBorder="1"/>
    <xf numFmtId="164" fontId="17" fillId="0" borderId="0" xfId="0" applyNumberFormat="1" applyFont="1" applyFill="1" applyBorder="1"/>
    <xf numFmtId="164" fontId="17" fillId="0" borderId="0" xfId="1" applyNumberFormat="1" applyFont="1" applyFill="1"/>
    <xf numFmtId="14" fontId="17" fillId="0" borderId="0" xfId="0" applyNumberFormat="1" applyFont="1" applyFill="1" applyAlignment="1">
      <alignment horizontal="left"/>
    </xf>
    <xf numFmtId="0" fontId="9" fillId="0" borderId="0" xfId="0" applyFont="1" applyFill="1"/>
    <xf numFmtId="0" fontId="0" fillId="0" borderId="0" xfId="0" applyFill="1" applyProtection="1"/>
    <xf numFmtId="0" fontId="17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3" fontId="17" fillId="0" borderId="0" xfId="1" applyNumberFormat="1" applyFont="1" applyFill="1" applyAlignment="1">
      <alignment horizontal="right" indent="2"/>
    </xf>
    <xf numFmtId="3" fontId="17" fillId="0" borderId="0" xfId="1" applyNumberFormat="1" applyFont="1" applyFill="1" applyAlignment="1">
      <alignment horizontal="right" indent="1"/>
    </xf>
    <xf numFmtId="3" fontId="17" fillId="0" borderId="0" xfId="1" applyNumberFormat="1" applyFont="1" applyFill="1" applyAlignment="1">
      <alignment horizontal="center"/>
    </xf>
    <xf numFmtId="0" fontId="23" fillId="0" borderId="0" xfId="0" applyFont="1" applyFill="1" applyBorder="1"/>
    <xf numFmtId="169" fontId="17" fillId="0" borderId="0" xfId="1" applyNumberFormat="1" applyFont="1" applyFill="1" applyBorder="1" applyAlignment="1">
      <alignment horizontal="right" indent="2"/>
    </xf>
    <xf numFmtId="169" fontId="17" fillId="0" borderId="1" xfId="1" applyNumberFormat="1" applyFont="1" applyFill="1" applyBorder="1" applyAlignment="1">
      <alignment horizontal="right" indent="2"/>
    </xf>
    <xf numFmtId="0" fontId="19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7" fillId="0" borderId="0" xfId="0" applyNumberFormat="1" applyFont="1" applyFill="1" applyBorder="1"/>
    <xf numFmtId="169" fontId="17" fillId="0" borderId="1" xfId="1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right"/>
    </xf>
    <xf numFmtId="16" fontId="17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 indent="2"/>
    </xf>
    <xf numFmtId="170" fontId="17" fillId="0" borderId="0" xfId="0" applyNumberFormat="1" applyFont="1" applyFill="1" applyBorder="1"/>
    <xf numFmtId="43" fontId="17" fillId="0" borderId="0" xfId="1" quotePrefix="1" applyNumberFormat="1" applyFont="1" applyFill="1" applyBorder="1" applyAlignment="1">
      <alignment horizontal="center"/>
    </xf>
    <xf numFmtId="166" fontId="17" fillId="0" borderId="0" xfId="1" quotePrefix="1" applyNumberFormat="1" applyFont="1" applyFill="1" applyBorder="1" applyAlignment="1">
      <alignment horizontal="center"/>
    </xf>
    <xf numFmtId="43" fontId="17" fillId="0" borderId="0" xfId="1" quotePrefix="1" applyFont="1" applyFill="1" applyBorder="1" applyAlignment="1">
      <alignment horizontal="center"/>
    </xf>
    <xf numFmtId="43" fontId="17" fillId="0" borderId="0" xfId="1" applyNumberFormat="1" applyFont="1" applyFill="1" applyBorder="1" applyAlignment="1">
      <alignment horizontal="center"/>
    </xf>
    <xf numFmtId="0" fontId="23" fillId="0" borderId="0" xfId="0" quotePrefix="1" applyFont="1" applyFill="1"/>
    <xf numFmtId="43" fontId="17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8" fillId="0" borderId="3" xfId="0" quotePrefix="1" applyFont="1" applyFill="1" applyBorder="1" applyAlignment="1"/>
    <xf numFmtId="0" fontId="18" fillId="0" borderId="3" xfId="0" applyFont="1" applyFill="1" applyBorder="1" applyAlignment="1"/>
    <xf numFmtId="43" fontId="17" fillId="0" borderId="0" xfId="1" applyNumberFormat="1" applyFont="1" applyFill="1" applyBorder="1"/>
    <xf numFmtId="0" fontId="8" fillId="0" borderId="0" xfId="0" applyFont="1" applyFill="1"/>
    <xf numFmtId="2" fontId="17" fillId="0" borderId="0" xfId="0" applyNumberFormat="1" applyFont="1" applyFill="1" applyBorder="1" applyAlignment="1">
      <alignment horizontal="center"/>
    </xf>
    <xf numFmtId="43" fontId="17" fillId="0" borderId="0" xfId="0" applyNumberFormat="1" applyFont="1" applyFill="1"/>
    <xf numFmtId="0" fontId="12" fillId="0" borderId="0" xfId="0" applyFont="1" applyFill="1"/>
    <xf numFmtId="2" fontId="0" fillId="0" borderId="0" xfId="0" applyNumberFormat="1" applyFill="1"/>
    <xf numFmtId="165" fontId="17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7" fillId="0" borderId="0" xfId="1" applyFont="1" applyFill="1" applyBorder="1" applyAlignment="1">
      <alignment horizontal="center"/>
    </xf>
    <xf numFmtId="0" fontId="17" fillId="0" borderId="0" xfId="0" quotePrefix="1" applyFont="1" applyFill="1" applyBorder="1"/>
    <xf numFmtId="167" fontId="0" fillId="0" borderId="0" xfId="0" applyNumberFormat="1" applyFill="1"/>
    <xf numFmtId="43" fontId="0" fillId="0" borderId="0" xfId="1" applyFont="1" applyFill="1"/>
    <xf numFmtId="43" fontId="8" fillId="0" borderId="0" xfId="1" applyFont="1" applyFill="1"/>
    <xf numFmtId="0" fontId="21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7" fillId="0" borderId="0" xfId="0" applyNumberFormat="1" applyFont="1" applyFill="1"/>
    <xf numFmtId="2" fontId="17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7" fillId="0" borderId="3" xfId="0" applyFont="1" applyFill="1" applyBorder="1"/>
    <xf numFmtId="0" fontId="17" fillId="0" borderId="0" xfId="0" applyFont="1" applyFill="1" applyBorder="1" applyAlignment="1">
      <alignment horizontal="right"/>
    </xf>
    <xf numFmtId="37" fontId="17" fillId="0" borderId="0" xfId="1" applyNumberFormat="1" applyFont="1" applyFill="1" applyAlignment="1">
      <alignment horizontal="center"/>
    </xf>
    <xf numFmtId="37" fontId="17" fillId="0" borderId="0" xfId="1" applyNumberFormat="1" applyFont="1" applyFill="1" applyAlignment="1">
      <alignment horizontal="right" indent="2"/>
    </xf>
    <xf numFmtId="165" fontId="17" fillId="0" borderId="0" xfId="1" applyNumberFormat="1" applyFont="1" applyFill="1"/>
    <xf numFmtId="37" fontId="17" fillId="0" borderId="0" xfId="1" applyNumberFormat="1" applyFont="1" applyFill="1" applyAlignment="1">
      <alignment horizontal="right" indent="1"/>
    </xf>
    <xf numFmtId="37" fontId="17" fillId="0" borderId="0" xfId="1" applyNumberFormat="1" applyFont="1" applyFill="1" applyBorder="1" applyAlignment="1">
      <alignment horizontal="center"/>
    </xf>
    <xf numFmtId="37" fontId="17" fillId="0" borderId="0" xfId="1" applyNumberFormat="1" applyFont="1" applyFill="1" applyBorder="1" applyAlignment="1">
      <alignment horizontal="right" indent="2"/>
    </xf>
    <xf numFmtId="165" fontId="17" fillId="0" borderId="0" xfId="1" applyNumberFormat="1" applyFont="1" applyFill="1" applyBorder="1"/>
    <xf numFmtId="37" fontId="17" fillId="0" borderId="0" xfId="1" applyNumberFormat="1" applyFont="1" applyFill="1" applyBorder="1" applyAlignment="1">
      <alignment horizontal="right" indent="1"/>
    </xf>
    <xf numFmtId="37" fontId="17" fillId="0" borderId="1" xfId="1" applyNumberFormat="1" applyFont="1" applyFill="1" applyBorder="1" applyAlignment="1">
      <alignment horizontal="center"/>
    </xf>
    <xf numFmtId="37" fontId="17" fillId="0" borderId="1" xfId="1" applyNumberFormat="1" applyFont="1" applyFill="1" applyBorder="1" applyAlignment="1">
      <alignment horizontal="right" indent="2"/>
    </xf>
    <xf numFmtId="165" fontId="17" fillId="0" borderId="1" xfId="1" applyNumberFormat="1" applyFont="1" applyFill="1" applyBorder="1"/>
    <xf numFmtId="37" fontId="17" fillId="0" borderId="1" xfId="1" applyNumberFormat="1" applyFont="1" applyFill="1" applyBorder="1" applyAlignment="1">
      <alignment horizontal="right" indent="1"/>
    </xf>
    <xf numFmtId="9" fontId="17" fillId="0" borderId="0" xfId="12" applyFont="1" applyFill="1"/>
    <xf numFmtId="1" fontId="17" fillId="0" borderId="0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4" xfId="0" applyFont="1" applyFill="1" applyBorder="1" applyAlignment="1">
      <alignment horizontal="center"/>
    </xf>
    <xf numFmtId="14" fontId="17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3" fontId="0" fillId="0" borderId="0" xfId="0" applyNumberFormat="1" applyFill="1"/>
    <xf numFmtId="169" fontId="17" fillId="0" borderId="0" xfId="1" applyNumberFormat="1" applyFont="1" applyFill="1" applyAlignment="1">
      <alignment horizontal="center"/>
    </xf>
    <xf numFmtId="4" fontId="0" fillId="0" borderId="0" xfId="0" applyNumberFormat="1" applyFill="1"/>
    <xf numFmtId="0" fontId="28" fillId="0" borderId="1" xfId="30" applyFont="1" applyBorder="1" applyAlignment="1">
      <alignment horizontal="center"/>
    </xf>
    <xf numFmtId="0" fontId="28" fillId="0" borderId="1" xfId="30" applyFont="1" applyBorder="1" applyAlignment="1">
      <alignment horizontal="left"/>
    </xf>
    <xf numFmtId="0" fontId="1" fillId="0" borderId="0" xfId="30"/>
    <xf numFmtId="0" fontId="28" fillId="0" borderId="1" xfId="29" applyFont="1" applyBorder="1" applyAlignment="1">
      <alignment horizontal="center" wrapText="1"/>
    </xf>
    <xf numFmtId="0" fontId="2" fillId="0" borderId="0" xfId="29" applyAlignment="1">
      <alignment horizontal="center"/>
    </xf>
    <xf numFmtId="0" fontId="1" fillId="0" borderId="0" xfId="30" applyNumberFormat="1"/>
    <xf numFmtId="17" fontId="27" fillId="0" borderId="0" xfId="30" applyNumberFormat="1" applyFont="1" applyAlignment="1">
      <alignment horizontal="left"/>
    </xf>
    <xf numFmtId="43" fontId="27" fillId="0" borderId="0" xfId="30" applyNumberFormat="1" applyFont="1" applyAlignment="1">
      <alignment horizontal="right"/>
    </xf>
    <xf numFmtId="43" fontId="8" fillId="0" borderId="0" xfId="31" applyNumberFormat="1" applyFont="1" applyAlignment="1">
      <alignment horizontal="right"/>
    </xf>
    <xf numFmtId="0" fontId="27" fillId="0" borderId="0" xfId="30" applyNumberFormat="1" applyFont="1"/>
    <xf numFmtId="0" fontId="28" fillId="0" borderId="1" xfId="30" applyFont="1" applyBorder="1" applyAlignment="1">
      <alignment horizontal="centerContinuous"/>
    </xf>
    <xf numFmtId="0" fontId="27" fillId="0" borderId="1" xfId="30" applyFont="1" applyBorder="1" applyAlignment="1">
      <alignment horizontal="centerContinuous"/>
    </xf>
    <xf numFmtId="0" fontId="28" fillId="0" borderId="1" xfId="30" applyFont="1" applyBorder="1"/>
    <xf numFmtId="0" fontId="28" fillId="0" borderId="1" xfId="30" applyNumberFormat="1" applyFont="1" applyBorder="1" applyAlignment="1">
      <alignment horizontal="left"/>
    </xf>
    <xf numFmtId="2" fontId="12" fillId="0" borderId="0" xfId="0" applyNumberFormat="1" applyFont="1" applyFill="1"/>
    <xf numFmtId="172" fontId="17" fillId="0" borderId="0" xfId="1" applyNumberFormat="1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quotePrefix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41" fontId="2" fillId="0" borderId="0" xfId="32" applyNumberFormat="1" applyFont="1"/>
    <xf numFmtId="41" fontId="27" fillId="0" borderId="0" xfId="32" applyNumberFormat="1" applyFont="1" applyBorder="1" applyAlignment="1">
      <alignment horizontal="center"/>
    </xf>
    <xf numFmtId="41" fontId="8" fillId="0" borderId="0" xfId="32" applyNumberFormat="1" applyFont="1"/>
    <xf numFmtId="41" fontId="27" fillId="0" borderId="0" xfId="32" applyNumberFormat="1" applyFont="1" applyAlignment="1">
      <alignment horizontal="center"/>
    </xf>
  </cellXfs>
  <cellStyles count="33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Historical U.S. vegetable oil prices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lineChart>
        <c:grouping val="standar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Soybean oil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Cover!$A$3:$A$25</c:f>
              <c:numCache>
                <c:formatCode>mmm\-yy</c:formatCode>
                <c:ptCount val="2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</c:numCache>
            </c:numRef>
          </c:cat>
          <c:val>
            <c:numRef>
              <c:f>Cover!$B$3:$B$25</c:f>
              <c:numCache>
                <c:formatCode>_(* #,##0.00_);_(* \(#,##0.00\);_(* "-"??_);_(@_)</c:formatCode>
                <c:ptCount val="23"/>
                <c:pt idx="0">
                  <c:v>30.14</c:v>
                </c:pt>
                <c:pt idx="1">
                  <c:v>30.62</c:v>
                </c:pt>
                <c:pt idx="2">
                  <c:v>32.270000000000003</c:v>
                </c:pt>
                <c:pt idx="3">
                  <c:v>33.04</c:v>
                </c:pt>
                <c:pt idx="4">
                  <c:v>30.26</c:v>
                </c:pt>
                <c:pt idx="5">
                  <c:v>27.04</c:v>
                </c:pt>
                <c:pt idx="6">
                  <c:v>25.69</c:v>
                </c:pt>
                <c:pt idx="7">
                  <c:v>25.27</c:v>
                </c:pt>
                <c:pt idx="8">
                  <c:v>26.61</c:v>
                </c:pt>
                <c:pt idx="9">
                  <c:v>28.71</c:v>
                </c:pt>
                <c:pt idx="10">
                  <c:v>32.130000000000003</c:v>
                </c:pt>
                <c:pt idx="11">
                  <c:v>34.200000000000003</c:v>
                </c:pt>
                <c:pt idx="12">
                  <c:v>33.909999999999997</c:v>
                </c:pt>
                <c:pt idx="13">
                  <c:v>37.79</c:v>
                </c:pt>
                <c:pt idx="14">
                  <c:v>40.85</c:v>
                </c:pt>
                <c:pt idx="15">
                  <c:v>44.31</c:v>
                </c:pt>
                <c:pt idx="16">
                  <c:v>48.37</c:v>
                </c:pt>
                <c:pt idx="17">
                  <c:v>54</c:v>
                </c:pt>
                <c:pt idx="18">
                  <c:v>62.88</c:v>
                </c:pt>
                <c:pt idx="19">
                  <c:v>74.75</c:v>
                </c:pt>
                <c:pt idx="20">
                  <c:v>74.75</c:v>
                </c:pt>
                <c:pt idx="21">
                  <c:v>72.930000000000007</c:v>
                </c:pt>
                <c:pt idx="22">
                  <c:v>70.010000000000005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B-4B22-973D-06B70E8A63A2}"/>
            </c:ext>
          </c:extLst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Cottonseed oil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Cover!$A$3:$A$25</c:f>
              <c:numCache>
                <c:formatCode>mmm\-yy</c:formatCode>
                <c:ptCount val="2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</c:numCache>
            </c:numRef>
          </c:cat>
          <c:val>
            <c:numRef>
              <c:f>Cover!$C$3:$C$25</c:f>
              <c:numCache>
                <c:formatCode>_(* #,##0.00_);_(* \(#,##0.00\);_(* "-"??_);_(@_)</c:formatCode>
                <c:ptCount val="23"/>
                <c:pt idx="0">
                  <c:v>37.94</c:v>
                </c:pt>
                <c:pt idx="1">
                  <c:v>38.4</c:v>
                </c:pt>
                <c:pt idx="2">
                  <c:v>40.25</c:v>
                </c:pt>
                <c:pt idx="3">
                  <c:v>40.1</c:v>
                </c:pt>
                <c:pt idx="4">
                  <c:v>38.5</c:v>
                </c:pt>
                <c:pt idx="5">
                  <c:v>36.19</c:v>
                </c:pt>
                <c:pt idx="6">
                  <c:v>37.31</c:v>
                </c:pt>
                <c:pt idx="7">
                  <c:v>37.200000000000003</c:v>
                </c:pt>
                <c:pt idx="8">
                  <c:v>36.75</c:v>
                </c:pt>
                <c:pt idx="9">
                  <c:v>43</c:v>
                </c:pt>
                <c:pt idx="10">
                  <c:v>46.81</c:v>
                </c:pt>
                <c:pt idx="11">
                  <c:v>49.69</c:v>
                </c:pt>
                <c:pt idx="12">
                  <c:v>48.35</c:v>
                </c:pt>
                <c:pt idx="13">
                  <c:v>54.4375</c:v>
                </c:pt>
                <c:pt idx="14">
                  <c:v>59.2</c:v>
                </c:pt>
                <c:pt idx="15">
                  <c:v>63.1875</c:v>
                </c:pt>
                <c:pt idx="16">
                  <c:v>73.625</c:v>
                </c:pt>
                <c:pt idx="17">
                  <c:v>86.9375</c:v>
                </c:pt>
                <c:pt idx="18">
                  <c:v>92.65</c:v>
                </c:pt>
                <c:pt idx="19">
                  <c:v>102.1875</c:v>
                </c:pt>
                <c:pt idx="20">
                  <c:v>100.6875</c:v>
                </c:pt>
                <c:pt idx="21">
                  <c:v>99.9</c:v>
                </c:pt>
                <c:pt idx="22">
                  <c:v>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B-4B22-973D-06B70E8A63A2}"/>
            </c:ext>
          </c:extLst>
        </c:ser>
        <c:ser>
          <c:idx val="3"/>
          <c:order val="2"/>
          <c:tx>
            <c:strRef>
              <c:f>Cover!$D$2</c:f>
              <c:strCache>
                <c:ptCount val="1"/>
                <c:pt idx="0">
                  <c:v>Canola oil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Cover!$A$3:$A$25</c:f>
              <c:numCache>
                <c:formatCode>mmm\-yy</c:formatCode>
                <c:ptCount val="2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</c:numCache>
            </c:numRef>
          </c:cat>
          <c:val>
            <c:numRef>
              <c:f>Cover!$D$3:$D$25</c:f>
              <c:numCache>
                <c:formatCode>_(* #,##0.00_);_(* \(#,##0.00\);_(* "-"??_);_(@_)</c:formatCode>
                <c:ptCount val="23"/>
                <c:pt idx="0">
                  <c:v>36.31</c:v>
                </c:pt>
                <c:pt idx="1">
                  <c:v>36.15</c:v>
                </c:pt>
                <c:pt idx="2">
                  <c:v>38.06</c:v>
                </c:pt>
                <c:pt idx="3">
                  <c:v>37.9</c:v>
                </c:pt>
                <c:pt idx="4">
                  <c:v>35.5</c:v>
                </c:pt>
                <c:pt idx="5">
                  <c:v>32.880000000000003</c:v>
                </c:pt>
                <c:pt idx="6">
                  <c:v>32.380000000000003</c:v>
                </c:pt>
                <c:pt idx="7">
                  <c:v>32.4</c:v>
                </c:pt>
                <c:pt idx="8">
                  <c:v>36.630000000000003</c:v>
                </c:pt>
                <c:pt idx="9">
                  <c:v>40.5</c:v>
                </c:pt>
                <c:pt idx="10">
                  <c:v>47.81</c:v>
                </c:pt>
                <c:pt idx="11">
                  <c:v>47.94</c:v>
                </c:pt>
                <c:pt idx="12">
                  <c:v>44.35</c:v>
                </c:pt>
                <c:pt idx="13">
                  <c:v>49.5</c:v>
                </c:pt>
                <c:pt idx="14">
                  <c:v>51.65</c:v>
                </c:pt>
                <c:pt idx="15">
                  <c:v>53.3125</c:v>
                </c:pt>
                <c:pt idx="16">
                  <c:v>58.9375</c:v>
                </c:pt>
                <c:pt idx="17">
                  <c:v>71.3125</c:v>
                </c:pt>
                <c:pt idx="18">
                  <c:v>79.55</c:v>
                </c:pt>
                <c:pt idx="19">
                  <c:v>94.0625</c:v>
                </c:pt>
                <c:pt idx="20">
                  <c:v>93.5</c:v>
                </c:pt>
                <c:pt idx="21">
                  <c:v>92.3</c:v>
                </c:pt>
                <c:pt idx="2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6B-4B22-973D-06B70E8A63A2}"/>
            </c:ext>
          </c:extLst>
        </c:ser>
        <c:ser>
          <c:idx val="4"/>
          <c:order val="3"/>
          <c:tx>
            <c:strRef>
              <c:f>Cover!$E$2</c:f>
              <c:strCache>
                <c:ptCount val="1"/>
                <c:pt idx="0">
                  <c:v>Peanut oil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Cover!$A$3:$A$25</c:f>
              <c:numCache>
                <c:formatCode>mmm\-yy</c:formatCode>
                <c:ptCount val="2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</c:numCache>
            </c:numRef>
          </c:cat>
          <c:val>
            <c:numRef>
              <c:f>Cover!$E$3:$E$25</c:f>
              <c:numCache>
                <c:formatCode>_(* #,##0.00_);_(* \(#,##0.00\);_(* "-"??_);_(@_)</c:formatCode>
                <c:ptCount val="23"/>
                <c:pt idx="0">
                  <c:v>61.5</c:v>
                </c:pt>
                <c:pt idx="1">
                  <c:v>63.1</c:v>
                </c:pt>
                <c:pt idx="2">
                  <c:v>60.13</c:v>
                </c:pt>
                <c:pt idx="3">
                  <c:v>59</c:v>
                </c:pt>
                <c:pt idx="4">
                  <c:v>59</c:v>
                </c:pt>
                <c:pt idx="5">
                  <c:v>59.75</c:v>
                </c:pt>
                <c:pt idx="6">
                  <c:v>59.5</c:v>
                </c:pt>
                <c:pt idx="7">
                  <c:v>62.1</c:v>
                </c:pt>
                <c:pt idx="8">
                  <c:v>84.75</c:v>
                </c:pt>
                <c:pt idx="9">
                  <c:v>85</c:v>
                </c:pt>
                <c:pt idx="10">
                  <c:v>90</c:v>
                </c:pt>
                <c:pt idx="11">
                  <c:v>90</c:v>
                </c:pt>
                <c:pt idx="12">
                  <c:v>93</c:v>
                </c:pt>
                <c:pt idx="13">
                  <c:v>98.75</c:v>
                </c:pt>
                <c:pt idx="14">
                  <c:v>100</c:v>
                </c:pt>
                <c:pt idx="15">
                  <c:v>90</c:v>
                </c:pt>
                <c:pt idx="16">
                  <c:v>93</c:v>
                </c:pt>
                <c:pt idx="17">
                  <c:v>105.25</c:v>
                </c:pt>
                <c:pt idx="18">
                  <c:v>109.2</c:v>
                </c:pt>
                <c:pt idx="19">
                  <c:v>110</c:v>
                </c:pt>
                <c:pt idx="20">
                  <c:v>108.1875</c:v>
                </c:pt>
                <c:pt idx="21">
                  <c:v>106</c:v>
                </c:pt>
                <c:pt idx="22">
                  <c:v>108.75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6B-4B22-973D-06B70E8A63A2}"/>
            </c:ext>
          </c:extLst>
        </c:ser>
        <c:ser>
          <c:idx val="5"/>
          <c:order val="4"/>
          <c:tx>
            <c:strRef>
              <c:f>Cover!$F$2</c:f>
              <c:strCache>
                <c:ptCount val="1"/>
                <c:pt idx="0">
                  <c:v>Corn oil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Cover!$A$3:$A$25</c:f>
              <c:numCache>
                <c:formatCode>mmm\-yy</c:formatCode>
                <c:ptCount val="2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</c:numCache>
            </c:numRef>
          </c:cat>
          <c:val>
            <c:numRef>
              <c:f>Cover!$F$3:$F$25</c:f>
              <c:numCache>
                <c:formatCode>_(* #,##0.00_);_(* \(#,##0.00\);_(* "-"??_);_(@_)</c:formatCode>
                <c:ptCount val="23"/>
                <c:pt idx="0">
                  <c:v>28.3</c:v>
                </c:pt>
                <c:pt idx="1">
                  <c:v>30.36</c:v>
                </c:pt>
                <c:pt idx="2">
                  <c:v>31.25</c:v>
                </c:pt>
                <c:pt idx="3">
                  <c:v>33.299999999999997</c:v>
                </c:pt>
                <c:pt idx="4">
                  <c:v>36</c:v>
                </c:pt>
                <c:pt idx="5">
                  <c:v>36.94</c:v>
                </c:pt>
                <c:pt idx="6">
                  <c:v>44.88</c:v>
                </c:pt>
                <c:pt idx="7">
                  <c:v>47.64</c:v>
                </c:pt>
                <c:pt idx="8">
                  <c:v>51.34</c:v>
                </c:pt>
                <c:pt idx="9">
                  <c:v>45.45</c:v>
                </c:pt>
                <c:pt idx="10">
                  <c:v>44.75</c:v>
                </c:pt>
                <c:pt idx="11">
                  <c:v>43.38</c:v>
                </c:pt>
                <c:pt idx="12">
                  <c:v>42.4375</c:v>
                </c:pt>
                <c:pt idx="13">
                  <c:v>42.524999999999999</c:v>
                </c:pt>
                <c:pt idx="14">
                  <c:v>41.725000000000001</c:v>
                </c:pt>
                <c:pt idx="15">
                  <c:v>43.337499999999999</c:v>
                </c:pt>
                <c:pt idx="16">
                  <c:v>44.945</c:v>
                </c:pt>
                <c:pt idx="17">
                  <c:v>52.05</c:v>
                </c:pt>
                <c:pt idx="18">
                  <c:v>59.8125</c:v>
                </c:pt>
                <c:pt idx="19">
                  <c:v>68.25</c:v>
                </c:pt>
                <c:pt idx="20">
                  <c:v>67.599999999999994</c:v>
                </c:pt>
                <c:pt idx="21">
                  <c:v>66.094999999999999</c:v>
                </c:pt>
                <c:pt idx="22">
                  <c:v>64.156000000000006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6B-4B22-973D-06B70E8A6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</c:dateAx>
      <c:valAx>
        <c:axId val="66717063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Price, cents per pound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912295325969763E-2"/>
          <c:y val="0.9035340351477803"/>
          <c:w val="0.86183308781791412"/>
          <c:h val="4.5667938608604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Weekly</a:t>
            </a:r>
            <a:r>
              <a:rPr lang="en-US" sz="1050" b="1" baseline="0"/>
              <a:t> U.S. and Argentine soybean oil export prices for 2020/21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Argentina soybean oil export price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'Figure 1'!$A$2:$A$49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'Figure 1'!$B$2:$B$49</c:f>
              <c:numCache>
                <c:formatCode>_(* #,##0_);_(* \(#,##0\);_(* "-"_);_(@_)</c:formatCode>
                <c:ptCount val="48"/>
                <c:pt idx="0">
                  <c:v>793.4</c:v>
                </c:pt>
                <c:pt idx="1">
                  <c:v>822</c:v>
                </c:pt>
                <c:pt idx="2">
                  <c:v>821.6</c:v>
                </c:pt>
                <c:pt idx="3">
                  <c:v>845</c:v>
                </c:pt>
                <c:pt idx="4">
                  <c:v>837</c:v>
                </c:pt>
                <c:pt idx="5">
                  <c:v>898.8</c:v>
                </c:pt>
                <c:pt idx="6">
                  <c:v>965.4</c:v>
                </c:pt>
                <c:pt idx="7">
                  <c:v>1000</c:v>
                </c:pt>
                <c:pt idx="8">
                  <c:v>976</c:v>
                </c:pt>
                <c:pt idx="9">
                  <c:v>975.6</c:v>
                </c:pt>
                <c:pt idx="10">
                  <c:v>983.6</c:v>
                </c:pt>
                <c:pt idx="11">
                  <c:v>1044.8</c:v>
                </c:pt>
                <c:pt idx="12">
                  <c:v>1087.5999999999999</c:v>
                </c:pt>
                <c:pt idx="13">
                  <c:v>1113.4000000000001</c:v>
                </c:pt>
                <c:pt idx="14">
                  <c:v>1092.5999999999999</c:v>
                </c:pt>
                <c:pt idx="15">
                  <c:v>1044.2</c:v>
                </c:pt>
                <c:pt idx="16">
                  <c:v>1004</c:v>
                </c:pt>
                <c:pt idx="17">
                  <c:v>1045.2</c:v>
                </c:pt>
                <c:pt idx="18">
                  <c:v>1051.8</c:v>
                </c:pt>
                <c:pt idx="19">
                  <c:v>1053.2</c:v>
                </c:pt>
                <c:pt idx="20">
                  <c:v>1103.4000000000001</c:v>
                </c:pt>
                <c:pt idx="21">
                  <c:v>1144.5999999999999</c:v>
                </c:pt>
                <c:pt idx="22">
                  <c:v>1196.8</c:v>
                </c:pt>
                <c:pt idx="23">
                  <c:v>1248.2</c:v>
                </c:pt>
                <c:pt idx="24">
                  <c:v>1238.4000000000001</c:v>
                </c:pt>
                <c:pt idx="25">
                  <c:v>1202.8</c:v>
                </c:pt>
                <c:pt idx="26">
                  <c:v>1223</c:v>
                </c:pt>
                <c:pt idx="27">
                  <c:v>1197.5999999999999</c:v>
                </c:pt>
                <c:pt idx="28">
                  <c:v>1254.2</c:v>
                </c:pt>
                <c:pt idx="29">
                  <c:v>1286</c:v>
                </c:pt>
                <c:pt idx="30">
                  <c:v>1238</c:v>
                </c:pt>
                <c:pt idx="31">
                  <c:v>1349.2</c:v>
                </c:pt>
                <c:pt idx="32">
                  <c:v>1392.8</c:v>
                </c:pt>
                <c:pt idx="33">
                  <c:v>1366.4</c:v>
                </c:pt>
                <c:pt idx="34">
                  <c:v>1356</c:v>
                </c:pt>
                <c:pt idx="35">
                  <c:v>1325.6</c:v>
                </c:pt>
                <c:pt idx="36">
                  <c:v>1172</c:v>
                </c:pt>
                <c:pt idx="37">
                  <c:v>1094.4000000000001</c:v>
                </c:pt>
                <c:pt idx="38">
                  <c:v>1105.8</c:v>
                </c:pt>
                <c:pt idx="39">
                  <c:v>1152.8</c:v>
                </c:pt>
                <c:pt idx="40">
                  <c:v>1220.8</c:v>
                </c:pt>
                <c:pt idx="41">
                  <c:v>1282.5999999999999</c:v>
                </c:pt>
                <c:pt idx="42">
                  <c:v>1289.8</c:v>
                </c:pt>
                <c:pt idx="43">
                  <c:v>1296.2</c:v>
                </c:pt>
                <c:pt idx="44">
                  <c:v>1252.2</c:v>
                </c:pt>
                <c:pt idx="45">
                  <c:v>1313.4</c:v>
                </c:pt>
                <c:pt idx="46">
                  <c:v>1327.2</c:v>
                </c:pt>
                <c:pt idx="47">
                  <c:v>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2-41EC-B3E2-EC7C7B6775C5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Argentina soybean oil export price + U.S. import tariff cost</c:v>
                </c:pt>
              </c:strCache>
            </c:strRef>
          </c:tx>
          <c:spPr>
            <a:ln w="28575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1'!$A$2:$A$49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'Figure 1'!$C$2:$C$49</c:f>
              <c:numCache>
                <c:formatCode>_(* #,##0_);_(* \(#,##0\);_(* "-"_);_(@_)</c:formatCode>
                <c:ptCount val="48"/>
                <c:pt idx="0">
                  <c:v>944.93939999999998</c:v>
                </c:pt>
                <c:pt idx="1">
                  <c:v>979.00200000000007</c:v>
                </c:pt>
                <c:pt idx="2">
                  <c:v>978.52560000000005</c:v>
                </c:pt>
                <c:pt idx="3">
                  <c:v>1006.3950000000001</c:v>
                </c:pt>
                <c:pt idx="4">
                  <c:v>996.86700000000008</c:v>
                </c:pt>
                <c:pt idx="5">
                  <c:v>1070.4708000000001</c:v>
                </c:pt>
                <c:pt idx="6">
                  <c:v>1149.7914000000001</c:v>
                </c:pt>
                <c:pt idx="7">
                  <c:v>1191</c:v>
                </c:pt>
                <c:pt idx="8">
                  <c:v>1162.4160000000002</c:v>
                </c:pt>
                <c:pt idx="9">
                  <c:v>1161.9396000000002</c:v>
                </c:pt>
                <c:pt idx="10">
                  <c:v>1171.4676000000002</c:v>
                </c:pt>
                <c:pt idx="11">
                  <c:v>1244.3568</c:v>
                </c:pt>
                <c:pt idx="12">
                  <c:v>1295.3316</c:v>
                </c:pt>
                <c:pt idx="13">
                  <c:v>1326.0594000000001</c:v>
                </c:pt>
                <c:pt idx="14">
                  <c:v>1301.2865999999999</c:v>
                </c:pt>
                <c:pt idx="15">
                  <c:v>1243.6422</c:v>
                </c:pt>
                <c:pt idx="16">
                  <c:v>1195.7640000000001</c:v>
                </c:pt>
                <c:pt idx="17">
                  <c:v>1244.8332</c:v>
                </c:pt>
                <c:pt idx="18">
                  <c:v>1252.6938</c:v>
                </c:pt>
                <c:pt idx="19">
                  <c:v>1254.3612000000001</c:v>
                </c:pt>
                <c:pt idx="20">
                  <c:v>1314.1494000000002</c:v>
                </c:pt>
                <c:pt idx="21">
                  <c:v>1363.2185999999999</c:v>
                </c:pt>
                <c:pt idx="22">
                  <c:v>1425.3887999999999</c:v>
                </c:pt>
                <c:pt idx="23">
                  <c:v>1486.6062000000002</c:v>
                </c:pt>
                <c:pt idx="24">
                  <c:v>1474.9344000000001</c:v>
                </c:pt>
                <c:pt idx="25">
                  <c:v>1432.5347999999999</c:v>
                </c:pt>
                <c:pt idx="26">
                  <c:v>1456.5930000000001</c:v>
                </c:pt>
                <c:pt idx="27">
                  <c:v>1426.3416</c:v>
                </c:pt>
                <c:pt idx="28">
                  <c:v>1493.7522000000001</c:v>
                </c:pt>
                <c:pt idx="29">
                  <c:v>1531.626</c:v>
                </c:pt>
                <c:pt idx="30">
                  <c:v>1474.4580000000001</c:v>
                </c:pt>
                <c:pt idx="31">
                  <c:v>1606.8972000000001</c:v>
                </c:pt>
                <c:pt idx="32">
                  <c:v>1658.8248000000001</c:v>
                </c:pt>
                <c:pt idx="33">
                  <c:v>1627.3824000000002</c:v>
                </c:pt>
                <c:pt idx="34">
                  <c:v>1614.9960000000001</c:v>
                </c:pt>
                <c:pt idx="35">
                  <c:v>1578.7896000000001</c:v>
                </c:pt>
                <c:pt idx="36">
                  <c:v>1395.8520000000001</c:v>
                </c:pt>
                <c:pt idx="37">
                  <c:v>1303.4304000000002</c:v>
                </c:pt>
                <c:pt idx="38">
                  <c:v>1317.0078000000001</c:v>
                </c:pt>
                <c:pt idx="39">
                  <c:v>1372.9848</c:v>
                </c:pt>
                <c:pt idx="40">
                  <c:v>1453.9728</c:v>
                </c:pt>
                <c:pt idx="41">
                  <c:v>1527.5765999999999</c:v>
                </c:pt>
                <c:pt idx="42">
                  <c:v>1536.1518000000001</c:v>
                </c:pt>
                <c:pt idx="43">
                  <c:v>1543.7742000000001</c:v>
                </c:pt>
                <c:pt idx="44">
                  <c:v>1491.3702000000001</c:v>
                </c:pt>
                <c:pt idx="45">
                  <c:v>1564.2594000000001</c:v>
                </c:pt>
                <c:pt idx="46">
                  <c:v>1580.6952000000001</c:v>
                </c:pt>
                <c:pt idx="47">
                  <c:v>1578.075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2-41EC-B3E2-EC7C7B6775C5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U.S. soybean oil export price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1'!$A$2:$A$49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'Figure 1'!$D$2:$D$49</c:f>
              <c:numCache>
                <c:formatCode>_(* #,##0_);_(* \(#,##0\);_(* "-"_);_(@_)</c:formatCode>
                <c:ptCount val="48"/>
                <c:pt idx="0">
                  <c:v>800.78800000000001</c:v>
                </c:pt>
                <c:pt idx="1">
                  <c:v>821.35200000000009</c:v>
                </c:pt>
                <c:pt idx="2">
                  <c:v>812.30600000000004</c:v>
                </c:pt>
                <c:pt idx="3">
                  <c:v>838.90400000000011</c:v>
                </c:pt>
                <c:pt idx="4">
                  <c:v>836.62999999999988</c:v>
                </c:pt>
                <c:pt idx="5">
                  <c:v>885.79</c:v>
                </c:pt>
                <c:pt idx="6">
                  <c:v>927.10799999999995</c:v>
                </c:pt>
                <c:pt idx="7">
                  <c:v>956.31799999999998</c:v>
                </c:pt>
                <c:pt idx="8">
                  <c:v>938.83000000000015</c:v>
                </c:pt>
                <c:pt idx="9">
                  <c:v>942.06600000000003</c:v>
                </c:pt>
                <c:pt idx="10">
                  <c:v>950</c:v>
                </c:pt>
                <c:pt idx="11">
                  <c:v>979.47399999999993</c:v>
                </c:pt>
                <c:pt idx="12">
                  <c:v>1006.05</c:v>
                </c:pt>
                <c:pt idx="13">
                  <c:v>1047.202</c:v>
                </c:pt>
                <c:pt idx="14">
                  <c:v>1050.3220000000001</c:v>
                </c:pt>
                <c:pt idx="15">
                  <c:v>1034.7540000000001</c:v>
                </c:pt>
                <c:pt idx="16">
                  <c:v>1055.2</c:v>
                </c:pt>
                <c:pt idx="17">
                  <c:v>1071.8579999999999</c:v>
                </c:pt>
                <c:pt idx="18">
                  <c:v>1088.482</c:v>
                </c:pt>
                <c:pt idx="19">
                  <c:v>1104.846</c:v>
                </c:pt>
                <c:pt idx="20">
                  <c:v>1153.0920000000001</c:v>
                </c:pt>
                <c:pt idx="21">
                  <c:v>1198.3219999999999</c:v>
                </c:pt>
                <c:pt idx="22">
                  <c:v>1253.902</c:v>
                </c:pt>
                <c:pt idx="23">
                  <c:v>1321.5840000000001</c:v>
                </c:pt>
                <c:pt idx="24">
                  <c:v>1356.748</c:v>
                </c:pt>
                <c:pt idx="25">
                  <c:v>1311.3560000000002</c:v>
                </c:pt>
                <c:pt idx="26">
                  <c:v>1314.7080000000001</c:v>
                </c:pt>
                <c:pt idx="27">
                  <c:v>1331.2059999999999</c:v>
                </c:pt>
                <c:pt idx="28">
                  <c:v>1438.4275</c:v>
                </c:pt>
                <c:pt idx="29">
                  <c:v>1617.34</c:v>
                </c:pt>
                <c:pt idx="30">
                  <c:v>1618.1479999999999</c:v>
                </c:pt>
                <c:pt idx="31">
                  <c:v>1626.384</c:v>
                </c:pt>
                <c:pt idx="32">
                  <c:v>1689.1299999999999</c:v>
                </c:pt>
                <c:pt idx="33">
                  <c:v>1658.884</c:v>
                </c:pt>
                <c:pt idx="34">
                  <c:v>1682.952</c:v>
                </c:pt>
                <c:pt idx="35">
                  <c:v>1757.9599999999998</c:v>
                </c:pt>
                <c:pt idx="36">
                  <c:v>1662.002</c:v>
                </c:pt>
                <c:pt idx="37">
                  <c:v>1467.7360000000001</c:v>
                </c:pt>
                <c:pt idx="38">
                  <c:v>1498.414</c:v>
                </c:pt>
                <c:pt idx="39">
                  <c:v>1498.174</c:v>
                </c:pt>
                <c:pt idx="40">
                  <c:v>1529.7999999999997</c:v>
                </c:pt>
                <c:pt idx="41">
                  <c:v>1596.5839999999998</c:v>
                </c:pt>
                <c:pt idx="42">
                  <c:v>1572.4940000000001</c:v>
                </c:pt>
                <c:pt idx="43">
                  <c:v>1557.4280000000001</c:v>
                </c:pt>
                <c:pt idx="44">
                  <c:v>1498.8019999999999</c:v>
                </c:pt>
                <c:pt idx="45">
                  <c:v>1504.3319999999999</c:v>
                </c:pt>
                <c:pt idx="46">
                  <c:v>1439.4919999999997</c:v>
                </c:pt>
                <c:pt idx="47">
                  <c:v>1422.4759999999999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2-41EC-B3E2-EC7C7B67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Weeks</a:t>
                </a:r>
                <a:r>
                  <a:rPr lang="en-US" sz="900" baseline="0"/>
                  <a:t> of 2020/21 marketing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tickLblSkip val="2"/>
        <c:noMultiLvlLbl val="0"/>
      </c:catAx>
      <c:valAx>
        <c:axId val="667170632"/>
        <c:scaling>
          <c:orientation val="minMax"/>
          <c:max val="18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21190665120348E-2"/>
          <c:y val="0.89664149546318528"/>
          <c:w val="0.82866301111585861"/>
          <c:h val="7.1837621952102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1</xdr:row>
      <xdr:rowOff>9524</xdr:rowOff>
    </xdr:from>
    <xdr:to>
      <xdr:col>16</xdr:col>
      <xdr:colOff>84666</xdr:colOff>
      <xdr:row>24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4E9D9-15F9-4687-BA6F-D07839BF2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0.9246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89090"/>
          <a:ext cx="5919046" cy="31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Statistics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Monthly Feedstuff Prices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and Sosland Publishing,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Milling and Baking News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 xmlns:a="http://schemas.openxmlformats.org/drawingml/2006/main">
          <a:b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14</xdr:col>
      <xdr:colOff>20955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ECD55-6236-4F08-AF35-63B070774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0.95942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638675"/>
          <a:ext cx="5897880" cy="196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International Grains Council.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4.25" x14ac:dyDescent="0.2"/>
  <cols>
    <col min="1" max="1" width="166.85546875" style="19" bestFit="1" customWidth="1"/>
    <col min="2" max="16384" width="9.7109375" style="1"/>
  </cols>
  <sheetData>
    <row r="1" spans="1:3" ht="44.25" customHeight="1" x14ac:dyDescent="0.2">
      <c r="A1" s="13"/>
    </row>
    <row r="2" spans="1:3" ht="15" x14ac:dyDescent="0.25">
      <c r="A2" s="14" t="s">
        <v>92</v>
      </c>
    </row>
    <row r="3" spans="1:3" s="2" customFormat="1" x14ac:dyDescent="0.2">
      <c r="A3" s="15"/>
    </row>
    <row r="4" spans="1:3" ht="15" x14ac:dyDescent="0.25">
      <c r="A4" s="14" t="s">
        <v>93</v>
      </c>
    </row>
    <row r="5" spans="1:3" ht="15" x14ac:dyDescent="0.25">
      <c r="A5" s="16">
        <f ca="1">TODAY()</f>
        <v>44452</v>
      </c>
      <c r="B5" s="3"/>
    </row>
    <row r="6" spans="1:3" s="2" customFormat="1" x14ac:dyDescent="0.2">
      <c r="A6" s="15"/>
      <c r="B6" s="3"/>
      <c r="C6" s="4"/>
    </row>
    <row r="7" spans="1:3" x14ac:dyDescent="0.2">
      <c r="A7" s="17" t="s">
        <v>145</v>
      </c>
      <c r="B7" s="5"/>
      <c r="C7" s="2"/>
    </row>
    <row r="8" spans="1:3" x14ac:dyDescent="0.2">
      <c r="A8" s="17" t="s">
        <v>136</v>
      </c>
      <c r="B8" s="6"/>
    </row>
    <row r="9" spans="1:3" x14ac:dyDescent="0.2">
      <c r="A9" s="17" t="s">
        <v>137</v>
      </c>
      <c r="B9" s="6"/>
    </row>
    <row r="10" spans="1:3" x14ac:dyDescent="0.2">
      <c r="A10" s="17" t="s">
        <v>138</v>
      </c>
      <c r="B10" s="6"/>
    </row>
    <row r="11" spans="1:3" x14ac:dyDescent="0.2">
      <c r="A11" s="17" t="s">
        <v>139</v>
      </c>
      <c r="B11" s="6"/>
    </row>
    <row r="12" spans="1:3" x14ac:dyDescent="0.2">
      <c r="A12" s="17" t="s">
        <v>140</v>
      </c>
      <c r="B12" s="6"/>
    </row>
    <row r="13" spans="1:3" x14ac:dyDescent="0.2">
      <c r="A13" s="17" t="s">
        <v>141</v>
      </c>
      <c r="B13" s="6"/>
    </row>
    <row r="14" spans="1:3" x14ac:dyDescent="0.2">
      <c r="A14" s="17" t="s">
        <v>142</v>
      </c>
      <c r="B14" s="6"/>
    </row>
    <row r="15" spans="1:3" x14ac:dyDescent="0.2">
      <c r="A15" s="17" t="s">
        <v>143</v>
      </c>
      <c r="B15" s="6"/>
    </row>
    <row r="16" spans="1:3" x14ac:dyDescent="0.2">
      <c r="A16" s="17" t="s">
        <v>144</v>
      </c>
      <c r="B16" s="6"/>
    </row>
    <row r="17" spans="1:2" x14ac:dyDescent="0.2">
      <c r="A17" s="18" t="s">
        <v>162</v>
      </c>
      <c r="B17" s="6"/>
    </row>
    <row r="18" spans="1:2" s="11" customFormat="1" ht="22.9" customHeight="1" x14ac:dyDescent="0.2">
      <c r="A18" s="7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E89B-BBBD-459A-8FEA-58F14F1A810B}">
  <dimension ref="A1:D49"/>
  <sheetViews>
    <sheetView zoomScale="90" zoomScaleNormal="90" workbookViewId="0"/>
  </sheetViews>
  <sheetFormatPr defaultColWidth="8.85546875" defaultRowHeight="15" x14ac:dyDescent="0.25"/>
  <cols>
    <col min="1" max="1" width="11.5703125" style="20" customWidth="1"/>
    <col min="2" max="2" width="18.7109375" style="20" customWidth="1"/>
    <col min="3" max="4" width="14.85546875" style="20" customWidth="1"/>
    <col min="5" max="16384" width="8.85546875" style="20"/>
  </cols>
  <sheetData>
    <row r="1" spans="1:4" ht="64.5" x14ac:dyDescent="0.25">
      <c r="A1" s="153" t="s">
        <v>166</v>
      </c>
      <c r="B1" s="153" t="s">
        <v>174</v>
      </c>
      <c r="C1" s="153" t="s">
        <v>175</v>
      </c>
      <c r="D1" s="153" t="s">
        <v>176</v>
      </c>
    </row>
    <row r="2" spans="1:4" x14ac:dyDescent="0.25">
      <c r="A2" s="154">
        <v>1</v>
      </c>
      <c r="B2" s="173">
        <v>793.4</v>
      </c>
      <c r="C2" s="174">
        <v>944.93939999999998</v>
      </c>
      <c r="D2" s="175">
        <v>800.78800000000001</v>
      </c>
    </row>
    <row r="3" spans="1:4" x14ac:dyDescent="0.25">
      <c r="A3" s="154">
        <v>2</v>
      </c>
      <c r="B3" s="173">
        <v>822</v>
      </c>
      <c r="C3" s="174">
        <v>979.00200000000007</v>
      </c>
      <c r="D3" s="175">
        <v>821.35200000000009</v>
      </c>
    </row>
    <row r="4" spans="1:4" x14ac:dyDescent="0.25">
      <c r="A4" s="154">
        <v>3</v>
      </c>
      <c r="B4" s="173">
        <v>821.6</v>
      </c>
      <c r="C4" s="174">
        <v>978.52560000000005</v>
      </c>
      <c r="D4" s="175">
        <v>812.30600000000004</v>
      </c>
    </row>
    <row r="5" spans="1:4" x14ac:dyDescent="0.25">
      <c r="A5" s="154">
        <v>4</v>
      </c>
      <c r="B5" s="173">
        <v>845</v>
      </c>
      <c r="C5" s="174">
        <v>1006.3950000000001</v>
      </c>
      <c r="D5" s="175">
        <v>838.90400000000011</v>
      </c>
    </row>
    <row r="6" spans="1:4" x14ac:dyDescent="0.25">
      <c r="A6" s="154">
        <v>5</v>
      </c>
      <c r="B6" s="173">
        <v>837</v>
      </c>
      <c r="C6" s="174">
        <v>996.86700000000008</v>
      </c>
      <c r="D6" s="175">
        <v>836.62999999999988</v>
      </c>
    </row>
    <row r="7" spans="1:4" x14ac:dyDescent="0.25">
      <c r="A7" s="154">
        <v>6</v>
      </c>
      <c r="B7" s="173">
        <v>898.8</v>
      </c>
      <c r="C7" s="174">
        <v>1070.4708000000001</v>
      </c>
      <c r="D7" s="175">
        <v>885.79</v>
      </c>
    </row>
    <row r="8" spans="1:4" x14ac:dyDescent="0.25">
      <c r="A8" s="154">
        <v>7</v>
      </c>
      <c r="B8" s="173">
        <v>965.4</v>
      </c>
      <c r="C8" s="174">
        <v>1149.7914000000001</v>
      </c>
      <c r="D8" s="175">
        <v>927.10799999999995</v>
      </c>
    </row>
    <row r="9" spans="1:4" x14ac:dyDescent="0.25">
      <c r="A9" s="154">
        <v>8</v>
      </c>
      <c r="B9" s="173">
        <v>1000</v>
      </c>
      <c r="C9" s="174">
        <v>1191</v>
      </c>
      <c r="D9" s="175">
        <v>956.31799999999998</v>
      </c>
    </row>
    <row r="10" spans="1:4" x14ac:dyDescent="0.25">
      <c r="A10" s="154">
        <v>9</v>
      </c>
      <c r="B10" s="173">
        <v>976</v>
      </c>
      <c r="C10" s="174">
        <v>1162.4160000000002</v>
      </c>
      <c r="D10" s="175">
        <v>938.83000000000015</v>
      </c>
    </row>
    <row r="11" spans="1:4" x14ac:dyDescent="0.25">
      <c r="A11" s="154">
        <v>10</v>
      </c>
      <c r="B11" s="173">
        <v>975.6</v>
      </c>
      <c r="C11" s="174">
        <v>1161.9396000000002</v>
      </c>
      <c r="D11" s="175">
        <v>942.06600000000003</v>
      </c>
    </row>
    <row r="12" spans="1:4" x14ac:dyDescent="0.25">
      <c r="A12" s="154">
        <v>11</v>
      </c>
      <c r="B12" s="173">
        <v>983.6</v>
      </c>
      <c r="C12" s="176">
        <v>1171.4676000000002</v>
      </c>
      <c r="D12" s="175">
        <v>950</v>
      </c>
    </row>
    <row r="13" spans="1:4" x14ac:dyDescent="0.25">
      <c r="A13" s="154">
        <v>12</v>
      </c>
      <c r="B13" s="173">
        <v>1044.8</v>
      </c>
      <c r="C13" s="176">
        <v>1244.3568</v>
      </c>
      <c r="D13" s="175">
        <v>979.47399999999993</v>
      </c>
    </row>
    <row r="14" spans="1:4" x14ac:dyDescent="0.25">
      <c r="A14" s="154">
        <v>13</v>
      </c>
      <c r="B14" s="173">
        <v>1087.5999999999999</v>
      </c>
      <c r="C14" s="176">
        <v>1295.3316</v>
      </c>
      <c r="D14" s="175">
        <v>1006.05</v>
      </c>
    </row>
    <row r="15" spans="1:4" x14ac:dyDescent="0.25">
      <c r="A15" s="154">
        <v>14</v>
      </c>
      <c r="B15" s="173">
        <v>1113.4000000000001</v>
      </c>
      <c r="C15" s="176">
        <v>1326.0594000000001</v>
      </c>
      <c r="D15" s="175">
        <v>1047.202</v>
      </c>
    </row>
    <row r="16" spans="1:4" x14ac:dyDescent="0.25">
      <c r="A16" s="154">
        <v>15</v>
      </c>
      <c r="B16" s="173">
        <v>1092.5999999999999</v>
      </c>
      <c r="C16" s="176">
        <v>1301.2865999999999</v>
      </c>
      <c r="D16" s="175">
        <v>1050.3220000000001</v>
      </c>
    </row>
    <row r="17" spans="1:4" x14ac:dyDescent="0.25">
      <c r="A17" s="154">
        <v>16</v>
      </c>
      <c r="B17" s="173">
        <v>1044.2</v>
      </c>
      <c r="C17" s="176">
        <v>1243.6422</v>
      </c>
      <c r="D17" s="175">
        <v>1034.7540000000001</v>
      </c>
    </row>
    <row r="18" spans="1:4" x14ac:dyDescent="0.25">
      <c r="A18" s="154">
        <v>17</v>
      </c>
      <c r="B18" s="173">
        <v>1004</v>
      </c>
      <c r="C18" s="176">
        <v>1195.7640000000001</v>
      </c>
      <c r="D18" s="175">
        <v>1055.2</v>
      </c>
    </row>
    <row r="19" spans="1:4" x14ac:dyDescent="0.25">
      <c r="A19" s="154">
        <v>18</v>
      </c>
      <c r="B19" s="173">
        <v>1045.2</v>
      </c>
      <c r="C19" s="176">
        <v>1244.8332</v>
      </c>
      <c r="D19" s="175">
        <v>1071.8579999999999</v>
      </c>
    </row>
    <row r="20" spans="1:4" x14ac:dyDescent="0.25">
      <c r="A20" s="154">
        <v>19</v>
      </c>
      <c r="B20" s="173">
        <v>1051.8</v>
      </c>
      <c r="C20" s="176">
        <v>1252.6938</v>
      </c>
      <c r="D20" s="175">
        <v>1088.482</v>
      </c>
    </row>
    <row r="21" spans="1:4" x14ac:dyDescent="0.25">
      <c r="A21" s="154">
        <v>20</v>
      </c>
      <c r="B21" s="173">
        <v>1053.2</v>
      </c>
      <c r="C21" s="176">
        <v>1254.3612000000001</v>
      </c>
      <c r="D21" s="175">
        <v>1104.846</v>
      </c>
    </row>
    <row r="22" spans="1:4" x14ac:dyDescent="0.25">
      <c r="A22" s="154">
        <v>21</v>
      </c>
      <c r="B22" s="173">
        <v>1103.4000000000001</v>
      </c>
      <c r="C22" s="173">
        <v>1314.1494000000002</v>
      </c>
      <c r="D22" s="173">
        <v>1153.0920000000001</v>
      </c>
    </row>
    <row r="23" spans="1:4" x14ac:dyDescent="0.25">
      <c r="A23" s="154">
        <v>22</v>
      </c>
      <c r="B23" s="173">
        <v>1144.5999999999999</v>
      </c>
      <c r="C23" s="173">
        <v>1363.2185999999999</v>
      </c>
      <c r="D23" s="173">
        <v>1198.3219999999999</v>
      </c>
    </row>
    <row r="24" spans="1:4" x14ac:dyDescent="0.25">
      <c r="A24" s="154">
        <v>23</v>
      </c>
      <c r="B24" s="173">
        <v>1196.8</v>
      </c>
      <c r="C24" s="173">
        <v>1425.3887999999999</v>
      </c>
      <c r="D24" s="173">
        <v>1253.902</v>
      </c>
    </row>
    <row r="25" spans="1:4" x14ac:dyDescent="0.25">
      <c r="A25" s="154">
        <v>24</v>
      </c>
      <c r="B25" s="173">
        <v>1248.2</v>
      </c>
      <c r="C25" s="173">
        <v>1486.6062000000002</v>
      </c>
      <c r="D25" s="173">
        <v>1321.5840000000001</v>
      </c>
    </row>
    <row r="26" spans="1:4" x14ac:dyDescent="0.25">
      <c r="A26" s="154">
        <v>25</v>
      </c>
      <c r="B26" s="173">
        <v>1238.4000000000001</v>
      </c>
      <c r="C26" s="173">
        <v>1474.9344000000001</v>
      </c>
      <c r="D26" s="173">
        <v>1356.748</v>
      </c>
    </row>
    <row r="27" spans="1:4" x14ac:dyDescent="0.25">
      <c r="A27" s="154">
        <v>26</v>
      </c>
      <c r="B27" s="173">
        <v>1202.8</v>
      </c>
      <c r="C27" s="173">
        <v>1432.5347999999999</v>
      </c>
      <c r="D27" s="173">
        <v>1311.3560000000002</v>
      </c>
    </row>
    <row r="28" spans="1:4" x14ac:dyDescent="0.25">
      <c r="A28" s="154">
        <v>27</v>
      </c>
      <c r="B28" s="173">
        <v>1223</v>
      </c>
      <c r="C28" s="173">
        <v>1456.5930000000001</v>
      </c>
      <c r="D28" s="173">
        <v>1314.7080000000001</v>
      </c>
    </row>
    <row r="29" spans="1:4" x14ac:dyDescent="0.25">
      <c r="A29" s="154">
        <v>28</v>
      </c>
      <c r="B29" s="173">
        <v>1197.5999999999999</v>
      </c>
      <c r="C29" s="173">
        <v>1426.3416</v>
      </c>
      <c r="D29" s="173">
        <v>1331.2059999999999</v>
      </c>
    </row>
    <row r="30" spans="1:4" x14ac:dyDescent="0.25">
      <c r="A30" s="154">
        <v>29</v>
      </c>
      <c r="B30" s="173">
        <v>1254.2</v>
      </c>
      <c r="C30" s="173">
        <v>1493.7522000000001</v>
      </c>
      <c r="D30" s="173">
        <v>1438.4275</v>
      </c>
    </row>
    <row r="31" spans="1:4" x14ac:dyDescent="0.25">
      <c r="A31" s="154">
        <v>30</v>
      </c>
      <c r="B31" s="173">
        <v>1286</v>
      </c>
      <c r="C31" s="173">
        <v>1531.626</v>
      </c>
      <c r="D31" s="173">
        <v>1617.34</v>
      </c>
    </row>
    <row r="32" spans="1:4" x14ac:dyDescent="0.25">
      <c r="A32" s="154">
        <v>31</v>
      </c>
      <c r="B32" s="173">
        <v>1238</v>
      </c>
      <c r="C32" s="173">
        <v>1474.4580000000001</v>
      </c>
      <c r="D32" s="173">
        <v>1618.1479999999999</v>
      </c>
    </row>
    <row r="33" spans="1:4" x14ac:dyDescent="0.25">
      <c r="A33" s="154">
        <v>32</v>
      </c>
      <c r="B33" s="173">
        <v>1349.2</v>
      </c>
      <c r="C33" s="173">
        <v>1606.8972000000001</v>
      </c>
      <c r="D33" s="173">
        <v>1626.384</v>
      </c>
    </row>
    <row r="34" spans="1:4" x14ac:dyDescent="0.25">
      <c r="A34" s="154">
        <v>33</v>
      </c>
      <c r="B34" s="173">
        <v>1392.8</v>
      </c>
      <c r="C34" s="173">
        <v>1658.8248000000001</v>
      </c>
      <c r="D34" s="173">
        <v>1689.1299999999999</v>
      </c>
    </row>
    <row r="35" spans="1:4" x14ac:dyDescent="0.25">
      <c r="A35" s="154">
        <v>34</v>
      </c>
      <c r="B35" s="173">
        <v>1366.4</v>
      </c>
      <c r="C35" s="173">
        <v>1627.3824000000002</v>
      </c>
      <c r="D35" s="173">
        <v>1658.884</v>
      </c>
    </row>
    <row r="36" spans="1:4" x14ac:dyDescent="0.25">
      <c r="A36" s="154">
        <v>35</v>
      </c>
      <c r="B36" s="173">
        <v>1356</v>
      </c>
      <c r="C36" s="173">
        <v>1614.9960000000001</v>
      </c>
      <c r="D36" s="173">
        <v>1682.952</v>
      </c>
    </row>
    <row r="37" spans="1:4" x14ac:dyDescent="0.25">
      <c r="A37" s="154">
        <v>36</v>
      </c>
      <c r="B37" s="173">
        <v>1325.6</v>
      </c>
      <c r="C37" s="173">
        <v>1578.7896000000001</v>
      </c>
      <c r="D37" s="173">
        <v>1757.9599999999998</v>
      </c>
    </row>
    <row r="38" spans="1:4" x14ac:dyDescent="0.25">
      <c r="A38" s="154">
        <v>37</v>
      </c>
      <c r="B38" s="173">
        <v>1172</v>
      </c>
      <c r="C38" s="173">
        <v>1395.8520000000001</v>
      </c>
      <c r="D38" s="173">
        <v>1662.002</v>
      </c>
    </row>
    <row r="39" spans="1:4" x14ac:dyDescent="0.25">
      <c r="A39" s="154">
        <v>38</v>
      </c>
      <c r="B39" s="173">
        <v>1094.4000000000001</v>
      </c>
      <c r="C39" s="173">
        <v>1303.4304000000002</v>
      </c>
      <c r="D39" s="173">
        <v>1467.7360000000001</v>
      </c>
    </row>
    <row r="40" spans="1:4" x14ac:dyDescent="0.25">
      <c r="A40" s="154">
        <v>39</v>
      </c>
      <c r="B40" s="173">
        <v>1105.8</v>
      </c>
      <c r="C40" s="173">
        <v>1317.0078000000001</v>
      </c>
      <c r="D40" s="173">
        <v>1498.414</v>
      </c>
    </row>
    <row r="41" spans="1:4" x14ac:dyDescent="0.25">
      <c r="A41" s="154">
        <v>40</v>
      </c>
      <c r="B41" s="173">
        <v>1152.8</v>
      </c>
      <c r="C41" s="173">
        <v>1372.9848</v>
      </c>
      <c r="D41" s="173">
        <v>1498.174</v>
      </c>
    </row>
    <row r="42" spans="1:4" x14ac:dyDescent="0.25">
      <c r="A42" s="154">
        <v>41</v>
      </c>
      <c r="B42" s="173">
        <v>1220.8</v>
      </c>
      <c r="C42" s="173">
        <v>1453.9728</v>
      </c>
      <c r="D42" s="173">
        <v>1529.7999999999997</v>
      </c>
    </row>
    <row r="43" spans="1:4" x14ac:dyDescent="0.25">
      <c r="A43" s="154">
        <v>42</v>
      </c>
      <c r="B43" s="173">
        <v>1282.5999999999999</v>
      </c>
      <c r="C43" s="173">
        <v>1527.5765999999999</v>
      </c>
      <c r="D43" s="173">
        <v>1596.5839999999998</v>
      </c>
    </row>
    <row r="44" spans="1:4" x14ac:dyDescent="0.25">
      <c r="A44" s="154">
        <v>43</v>
      </c>
      <c r="B44" s="173">
        <v>1289.8</v>
      </c>
      <c r="C44" s="173">
        <v>1536.1518000000001</v>
      </c>
      <c r="D44" s="173">
        <v>1572.4940000000001</v>
      </c>
    </row>
    <row r="45" spans="1:4" x14ac:dyDescent="0.25">
      <c r="A45" s="154">
        <v>44</v>
      </c>
      <c r="B45" s="173">
        <v>1296.2</v>
      </c>
      <c r="C45" s="173">
        <v>1543.7742000000001</v>
      </c>
      <c r="D45" s="173">
        <v>1557.4280000000001</v>
      </c>
    </row>
    <row r="46" spans="1:4" x14ac:dyDescent="0.25">
      <c r="A46" s="154">
        <v>45</v>
      </c>
      <c r="B46" s="173">
        <v>1252.2</v>
      </c>
      <c r="C46" s="173">
        <v>1491.3702000000001</v>
      </c>
      <c r="D46" s="173">
        <v>1498.8019999999999</v>
      </c>
    </row>
    <row r="47" spans="1:4" x14ac:dyDescent="0.25">
      <c r="A47" s="154">
        <v>46</v>
      </c>
      <c r="B47" s="173">
        <v>1313.4</v>
      </c>
      <c r="C47" s="173">
        <v>1564.2594000000001</v>
      </c>
      <c r="D47" s="173">
        <v>1504.3319999999999</v>
      </c>
    </row>
    <row r="48" spans="1:4" x14ac:dyDescent="0.25">
      <c r="A48" s="154">
        <v>47</v>
      </c>
      <c r="B48" s="173">
        <v>1327.2</v>
      </c>
      <c r="C48" s="173">
        <v>1580.6952000000001</v>
      </c>
      <c r="D48" s="173">
        <v>1439.4919999999997</v>
      </c>
    </row>
    <row r="49" spans="1:4" x14ac:dyDescent="0.25">
      <c r="A49" s="154">
        <v>48</v>
      </c>
      <c r="B49" s="173">
        <v>1325</v>
      </c>
      <c r="C49" s="173">
        <v>1578.075</v>
      </c>
      <c r="D49" s="173">
        <v>1422.4759999999999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5"/>
  <sheetViews>
    <sheetView showGridLines="0" zoomScale="70" zoomScaleNormal="70" workbookViewId="0"/>
  </sheetViews>
  <sheetFormatPr defaultRowHeight="12.75" x14ac:dyDescent="0.2"/>
  <cols>
    <col min="1" max="1" width="21.7109375" style="27" customWidth="1"/>
    <col min="2" max="2" width="11.5703125" style="27" customWidth="1"/>
    <col min="3" max="3" width="9.5703125" style="27" customWidth="1"/>
    <col min="4" max="4" width="26.7109375" style="27" customWidth="1"/>
    <col min="5" max="5" width="9.7109375" style="27" customWidth="1"/>
    <col min="6" max="6" width="10.7109375" style="27" customWidth="1"/>
    <col min="7" max="7" width="7.7109375" style="27" customWidth="1"/>
    <col min="8" max="8" width="9.7109375" style="27" customWidth="1"/>
    <col min="9" max="9" width="1.7109375" style="27" customWidth="1"/>
    <col min="10" max="10" width="9.7109375" style="27" customWidth="1"/>
    <col min="11" max="12" width="10.7109375" style="27" customWidth="1"/>
    <col min="13" max="13" width="10.28515625" style="27" customWidth="1"/>
    <col min="14" max="14" width="9.7109375" style="27" customWidth="1"/>
    <col min="15" max="16" width="9.140625" style="27"/>
    <col min="17" max="17" width="15.42578125" style="27" bestFit="1" customWidth="1"/>
    <col min="18" max="18" width="10.140625" style="27" bestFit="1" customWidth="1"/>
    <col min="19" max="16384" width="9.140625" style="27"/>
  </cols>
  <sheetData>
    <row r="1" spans="1:23" ht="14.25" x14ac:dyDescent="0.2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3" ht="14.25" x14ac:dyDescent="0.2">
      <c r="A2" s="28"/>
      <c r="B2" s="29" t="s">
        <v>19</v>
      </c>
      <c r="C2" s="71"/>
      <c r="D2" s="30" t="s">
        <v>22</v>
      </c>
      <c r="E2" s="31"/>
      <c r="F2" s="71" t="s">
        <v>70</v>
      </c>
      <c r="G2" s="71"/>
      <c r="H2" s="71"/>
      <c r="I2" s="32"/>
      <c r="J2" s="31"/>
      <c r="K2" s="71"/>
      <c r="L2" s="33" t="s">
        <v>57</v>
      </c>
      <c r="M2" s="71"/>
      <c r="N2" s="28"/>
    </row>
    <row r="3" spans="1:23" ht="14.25" x14ac:dyDescent="0.2">
      <c r="A3" s="28" t="s">
        <v>64</v>
      </c>
      <c r="B3" s="30" t="s">
        <v>20</v>
      </c>
      <c r="C3" s="28" t="s">
        <v>21</v>
      </c>
      <c r="D3" s="30"/>
      <c r="E3" s="34" t="s">
        <v>8</v>
      </c>
      <c r="F3" s="34"/>
      <c r="G3" s="34"/>
      <c r="H3" s="34"/>
      <c r="I3" s="34"/>
      <c r="J3" s="30" t="s">
        <v>59</v>
      </c>
      <c r="K3" s="34" t="s">
        <v>76</v>
      </c>
      <c r="L3" s="34"/>
      <c r="M3" s="34"/>
      <c r="N3" s="34" t="s">
        <v>6</v>
      </c>
    </row>
    <row r="4" spans="1:23" ht="14.25" x14ac:dyDescent="0.2">
      <c r="A4" s="35" t="s">
        <v>67</v>
      </c>
      <c r="B4" s="36"/>
      <c r="C4" s="36"/>
      <c r="D4" s="36"/>
      <c r="E4" s="37" t="s">
        <v>7</v>
      </c>
      <c r="F4" s="37" t="s">
        <v>1</v>
      </c>
      <c r="G4" s="38" t="s">
        <v>2</v>
      </c>
      <c r="H4" s="39" t="s">
        <v>3</v>
      </c>
      <c r="I4" s="38"/>
      <c r="J4" s="38"/>
      <c r="K4" s="38" t="s">
        <v>5</v>
      </c>
      <c r="L4" s="39" t="s">
        <v>4</v>
      </c>
      <c r="M4" s="37" t="s">
        <v>3</v>
      </c>
      <c r="N4" s="38" t="s">
        <v>7</v>
      </c>
      <c r="W4" s="40"/>
    </row>
    <row r="5" spans="1:23" ht="14.25" x14ac:dyDescent="0.2">
      <c r="A5" s="28"/>
      <c r="B5" s="41" t="s">
        <v>71</v>
      </c>
      <c r="C5" s="72"/>
      <c r="D5" s="42" t="s">
        <v>128</v>
      </c>
      <c r="G5" s="41"/>
      <c r="I5" s="41"/>
      <c r="J5" s="41" t="s">
        <v>116</v>
      </c>
      <c r="K5" s="41"/>
      <c r="L5" s="41"/>
      <c r="M5" s="41"/>
      <c r="N5" s="41"/>
      <c r="W5" s="40"/>
    </row>
    <row r="6" spans="1:23" ht="16.5" customHeight="1" x14ac:dyDescent="0.2">
      <c r="A6" s="28" t="s">
        <v>117</v>
      </c>
      <c r="B6" s="43">
        <v>76.099999999999994</v>
      </c>
      <c r="C6" s="43">
        <v>74.938999999999993</v>
      </c>
      <c r="D6" s="43">
        <v>47.397323156167019</v>
      </c>
      <c r="E6" s="44">
        <v>909</v>
      </c>
      <c r="F6" s="45">
        <f>F28</f>
        <v>3551.9079999999999</v>
      </c>
      <c r="G6" s="46">
        <f t="shared" ref="G6:M6" si="0">G28</f>
        <v>15.380623192800002</v>
      </c>
      <c r="H6" s="46">
        <f t="shared" si="0"/>
        <v>4476.3406231928002</v>
      </c>
      <c r="I6" s="45">
        <f t="shared" si="0"/>
        <v>0</v>
      </c>
      <c r="J6" s="45">
        <f t="shared" si="0"/>
        <v>2164.571916009776</v>
      </c>
      <c r="K6" s="45">
        <f t="shared" si="0"/>
        <v>107.97710436542383</v>
      </c>
      <c r="L6" s="46">
        <f t="shared" si="0"/>
        <v>1679.2506028176001</v>
      </c>
      <c r="M6" s="46">
        <f t="shared" si="0"/>
        <v>3951.7996231928005</v>
      </c>
      <c r="N6" s="46">
        <f>H6-M6</f>
        <v>524.54099999999971</v>
      </c>
    </row>
    <row r="7" spans="1:23" ht="16.5" customHeight="1" x14ac:dyDescent="0.2">
      <c r="A7" s="28" t="s">
        <v>120</v>
      </c>
      <c r="B7" s="43">
        <v>83.084000000000003</v>
      </c>
      <c r="C7" s="43">
        <v>82.317999999999998</v>
      </c>
      <c r="D7" s="43">
        <f>F7/C7</f>
        <v>50.237821618601032</v>
      </c>
      <c r="E7" s="44">
        <f>N6</f>
        <v>524.54099999999971</v>
      </c>
      <c r="F7" s="45">
        <v>4135.4769999999999</v>
      </c>
      <c r="G7" s="46">
        <v>20</v>
      </c>
      <c r="H7" s="46">
        <f>SUM(E7:G7)</f>
        <v>4680.018</v>
      </c>
      <c r="I7" s="28"/>
      <c r="J7" s="45">
        <v>2140</v>
      </c>
      <c r="K7" s="45">
        <v>105.03156725402637</v>
      </c>
      <c r="L7" s="46">
        <v>2260</v>
      </c>
      <c r="M7" s="46">
        <f>SUM(J7:L7)</f>
        <v>4505.0315672540264</v>
      </c>
      <c r="N7" s="46">
        <f t="shared" ref="N7:N8" si="1">H7-M7</f>
        <v>174.98643274597362</v>
      </c>
    </row>
    <row r="8" spans="1:23" ht="16.5" customHeight="1" x14ac:dyDescent="0.2">
      <c r="A8" s="28" t="s">
        <v>151</v>
      </c>
      <c r="B8" s="43">
        <v>87.234999999999999</v>
      </c>
      <c r="C8" s="43">
        <v>86.436000000000007</v>
      </c>
      <c r="D8" s="43">
        <f>F8/C8</f>
        <v>50.603070479892629</v>
      </c>
      <c r="E8" s="44">
        <f>N7</f>
        <v>174.98643274597362</v>
      </c>
      <c r="F8" s="45">
        <v>4373.9269999999997</v>
      </c>
      <c r="G8" s="46">
        <v>25</v>
      </c>
      <c r="H8" s="46">
        <f>SUM(E8:G8)</f>
        <v>4573.9134327459733</v>
      </c>
      <c r="I8" s="28"/>
      <c r="J8" s="45">
        <v>2180</v>
      </c>
      <c r="K8" s="45">
        <v>118.86381027784</v>
      </c>
      <c r="L8" s="46">
        <v>2090</v>
      </c>
      <c r="M8" s="46">
        <f>SUM(J8:L8)</f>
        <v>4388.8638102778405</v>
      </c>
      <c r="N8" s="46">
        <f t="shared" si="1"/>
        <v>185.04962246813284</v>
      </c>
    </row>
    <row r="9" spans="1:23" ht="16.5" customHeight="1" x14ac:dyDescent="0.2">
      <c r="A9" s="32"/>
      <c r="B9" s="32"/>
      <c r="C9" s="32"/>
      <c r="D9" s="32"/>
      <c r="E9" s="47"/>
      <c r="F9" s="47"/>
      <c r="G9" s="48"/>
      <c r="H9" s="47"/>
      <c r="I9" s="47"/>
      <c r="J9" s="48"/>
      <c r="K9" s="48"/>
      <c r="L9" s="48"/>
      <c r="M9" s="48"/>
      <c r="N9" s="48"/>
    </row>
    <row r="10" spans="1:23" ht="16.5" customHeight="1" x14ac:dyDescent="0.2">
      <c r="A10" s="32" t="s">
        <v>129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9"/>
    </row>
    <row r="11" spans="1:23" ht="16.5" customHeight="1" x14ac:dyDescent="0.25">
      <c r="A11" s="50" t="s">
        <v>117</v>
      </c>
      <c r="B11" s="51"/>
      <c r="C11" s="51"/>
      <c r="D11" s="51"/>
      <c r="E11" s="51"/>
      <c r="F11" s="51"/>
      <c r="G11" s="12"/>
      <c r="H11" s="21"/>
      <c r="I11" s="52"/>
      <c r="J11" s="21"/>
      <c r="K11" s="21"/>
      <c r="L11" s="12"/>
      <c r="M11" s="12"/>
      <c r="N11" s="51"/>
    </row>
    <row r="12" spans="1:23" ht="16.5" customHeight="1" x14ac:dyDescent="0.2">
      <c r="A12" s="32" t="s">
        <v>79</v>
      </c>
      <c r="B12" s="51"/>
      <c r="C12" s="51"/>
      <c r="D12" s="21"/>
      <c r="G12" s="12">
        <f>(31910.9*36.744)/1000000</f>
        <v>1.1725341096000002</v>
      </c>
      <c r="I12" s="51"/>
      <c r="J12" s="21">
        <f>((4870034*0.907185)*36.744)/1000000</f>
        <v>162.33579280939173</v>
      </c>
      <c r="K12" s="53"/>
      <c r="L12" s="12">
        <f>(3912144.9*36.744)/1000000</f>
        <v>143.7478522056</v>
      </c>
      <c r="M12" s="12"/>
      <c r="N12" s="21"/>
    </row>
    <row r="13" spans="1:23" ht="16.5" customHeight="1" x14ac:dyDescent="0.2">
      <c r="A13" s="32" t="s">
        <v>81</v>
      </c>
      <c r="B13" s="51"/>
      <c r="C13" s="51"/>
      <c r="D13" s="21"/>
      <c r="E13" s="54"/>
      <c r="F13" s="55"/>
      <c r="G13" s="12">
        <f>(53275.5*36.744)/1000000</f>
        <v>1.9575549720000001</v>
      </c>
      <c r="H13" s="21"/>
      <c r="I13" s="51"/>
      <c r="J13" s="21">
        <f>((5615616*0.907185)*36.744)/1000000</f>
        <v>187.18872916967425</v>
      </c>
      <c r="K13" s="53"/>
      <c r="L13" s="12">
        <f>(5894089.2*36.744)/1000000</f>
        <v>216.5724135648</v>
      </c>
      <c r="M13" s="12"/>
      <c r="N13" s="21"/>
    </row>
    <row r="14" spans="1:23" ht="16.5" customHeight="1" x14ac:dyDescent="0.2">
      <c r="A14" s="32" t="s">
        <v>83</v>
      </c>
      <c r="B14" s="51"/>
      <c r="C14" s="51"/>
      <c r="D14" s="21"/>
      <c r="E14" s="54"/>
      <c r="F14" s="55"/>
      <c r="G14" s="12">
        <f>(12452.6*36.744)/1000000</f>
        <v>0.45755833439999999</v>
      </c>
      <c r="H14" s="21"/>
      <c r="I14" s="51"/>
      <c r="J14" s="21">
        <f>((5239452*0.907185)*36.744)/1000000</f>
        <v>174.64982673770928</v>
      </c>
      <c r="K14" s="53"/>
      <c r="L14" s="12">
        <f>(6834264.3*36.744)/1000000</f>
        <v>251.11820743919998</v>
      </c>
      <c r="M14" s="12"/>
      <c r="N14" s="21"/>
    </row>
    <row r="15" spans="1:23" ht="16.5" customHeight="1" x14ac:dyDescent="0.2">
      <c r="A15" s="32" t="s">
        <v>61</v>
      </c>
      <c r="B15" s="51"/>
      <c r="C15" s="51"/>
      <c r="D15" s="51"/>
      <c r="E15" s="54">
        <v>909.05200000000002</v>
      </c>
      <c r="F15" s="55">
        <f>3551.908</f>
        <v>3551.9079999999999</v>
      </c>
      <c r="G15" s="12">
        <f>SUM(G12:G14)</f>
        <v>3.5876474160000003</v>
      </c>
      <c r="H15" s="21">
        <f>E15+F15+G15</f>
        <v>4464.5476474160005</v>
      </c>
      <c r="I15" s="51"/>
      <c r="J15" s="21">
        <f>SUM(J12:J14)</f>
        <v>524.17434871677528</v>
      </c>
      <c r="K15" s="53">
        <f>M15-L15-J15</f>
        <v>76.446825489625326</v>
      </c>
      <c r="L15" s="12">
        <f>SUM(L12:L14)</f>
        <v>611.43847320960003</v>
      </c>
      <c r="M15" s="12">
        <f>H15-N15</f>
        <v>1212.0596474160006</v>
      </c>
      <c r="N15" s="21">
        <v>3252.4879999999998</v>
      </c>
    </row>
    <row r="16" spans="1:23" ht="16.5" customHeight="1" x14ac:dyDescent="0.2">
      <c r="A16" s="28" t="s">
        <v>84</v>
      </c>
      <c r="B16" s="51"/>
      <c r="C16" s="51"/>
      <c r="D16" s="21"/>
      <c r="E16" s="54"/>
      <c r="F16" s="12"/>
      <c r="G16" s="12">
        <f>(37814.7*36.744)/1000000</f>
        <v>1.3894633368</v>
      </c>
      <c r="H16" s="21"/>
      <c r="I16" s="51"/>
      <c r="J16" s="21">
        <f>((5542274*0.907185)*36.744)/1000000</f>
        <v>184.74397586482533</v>
      </c>
      <c r="K16" s="53"/>
      <c r="L16" s="12">
        <f>(5669989.1*36.744)/1000000</f>
        <v>208.33807949039999</v>
      </c>
      <c r="M16" s="12"/>
      <c r="N16" s="21"/>
    </row>
    <row r="17" spans="1:14" ht="16.5" customHeight="1" x14ac:dyDescent="0.2">
      <c r="A17" s="28" t="s">
        <v>85</v>
      </c>
      <c r="B17" s="51"/>
      <c r="C17" s="51"/>
      <c r="D17" s="21"/>
      <c r="E17" s="54"/>
      <c r="F17" s="55"/>
      <c r="G17" s="12">
        <f>(31076.1*36.744)/1000000</f>
        <v>1.1418602184</v>
      </c>
      <c r="H17" s="21"/>
      <c r="I17" s="51"/>
      <c r="J17" s="21">
        <f>((5663403*0.907185)*36.744)/1000000</f>
        <v>188.78164218239291</v>
      </c>
      <c r="K17" s="53"/>
      <c r="L17" s="12">
        <f>(5182193.7*36.744)/1000000</f>
        <v>190.41452531280001</v>
      </c>
      <c r="M17" s="12"/>
      <c r="N17" s="21"/>
    </row>
    <row r="18" spans="1:14" ht="16.5" customHeight="1" x14ac:dyDescent="0.2">
      <c r="A18" s="28" t="s">
        <v>86</v>
      </c>
      <c r="B18" s="51"/>
      <c r="C18" s="51"/>
      <c r="D18" s="21"/>
      <c r="E18" s="54"/>
      <c r="F18" s="55"/>
      <c r="G18" s="12">
        <f>(41346.4*36.744)/1000000</f>
        <v>1.5192321216</v>
      </c>
      <c r="H18" s="21"/>
      <c r="I18" s="51"/>
      <c r="J18" s="21">
        <f>((5258777*0.907185)*36.744)/1000000</f>
        <v>175.29399866670227</v>
      </c>
      <c r="K18" s="53"/>
      <c r="L18" s="12">
        <f>(2930661.8*36.744)/1000000</f>
        <v>107.6842371792</v>
      </c>
      <c r="M18" s="51"/>
      <c r="N18" s="51"/>
    </row>
    <row r="19" spans="1:14" ht="16.5" customHeight="1" x14ac:dyDescent="0.2">
      <c r="A19" s="28" t="s">
        <v>62</v>
      </c>
      <c r="B19" s="51"/>
      <c r="C19" s="51"/>
      <c r="D19" s="51"/>
      <c r="E19" s="54">
        <f>N15</f>
        <v>3252.4879999999998</v>
      </c>
      <c r="F19" s="55"/>
      <c r="G19" s="12">
        <f>SUM(G16:G18)</f>
        <v>4.0505556768000002</v>
      </c>
      <c r="H19" s="21">
        <f>E19+F19+G19</f>
        <v>3256.5385556767997</v>
      </c>
      <c r="I19" s="51"/>
      <c r="J19" s="21">
        <f>SUM(J16:J18)</f>
        <v>548.81961671392048</v>
      </c>
      <c r="K19" s="53">
        <f>M19-L19-J19</f>
        <v>-53.599903019520923</v>
      </c>
      <c r="L19" s="12">
        <f>SUM(L16:L18)</f>
        <v>506.43684198240004</v>
      </c>
      <c r="M19" s="12">
        <f>H19-N19</f>
        <v>1001.6565556767996</v>
      </c>
      <c r="N19" s="21">
        <v>2254.8820000000001</v>
      </c>
    </row>
    <row r="20" spans="1:14" ht="16.5" customHeight="1" x14ac:dyDescent="0.2">
      <c r="A20" s="28" t="s">
        <v>87</v>
      </c>
      <c r="B20" s="51"/>
      <c r="C20" s="51"/>
      <c r="D20" s="21"/>
      <c r="E20" s="54"/>
      <c r="F20" s="55"/>
      <c r="G20" s="12">
        <f>(42451.2*36.744)/1000000</f>
        <v>1.5598268927999999</v>
      </c>
      <c r="H20" s="21"/>
      <c r="I20" s="51"/>
      <c r="J20" s="21">
        <f>((5764867*0.907185)*36.744)/1000000</f>
        <v>192.16380314504988</v>
      </c>
      <c r="K20" s="53"/>
      <c r="L20" s="12">
        <f>(2475267.9*36.744)/1000000</f>
        <v>90.951243717600008</v>
      </c>
      <c r="M20" s="12"/>
      <c r="N20" s="21"/>
    </row>
    <row r="21" spans="1:14" ht="16.5" customHeight="1" x14ac:dyDescent="0.2">
      <c r="A21" s="28" t="s">
        <v>88</v>
      </c>
      <c r="B21" s="51"/>
      <c r="C21" s="51"/>
      <c r="D21" s="21"/>
      <c r="E21" s="54"/>
      <c r="F21" s="55"/>
      <c r="G21" s="12">
        <f>(25462.9*36.744)/1000000</f>
        <v>0.93560879760000004</v>
      </c>
      <c r="H21" s="21"/>
      <c r="I21" s="51"/>
      <c r="J21" s="21">
        <f>((5501825*0.907185)*36.744)/1000000</f>
        <v>183.395664850293</v>
      </c>
      <c r="K21" s="53"/>
      <c r="L21" s="12">
        <f>(2222224.3*36.744)/1000000</f>
        <v>81.653409679199996</v>
      </c>
      <c r="M21" s="12"/>
      <c r="N21" s="21"/>
    </row>
    <row r="22" spans="1:14" ht="16.5" customHeight="1" x14ac:dyDescent="0.2">
      <c r="A22" s="28" t="s">
        <v>89</v>
      </c>
      <c r="B22" s="51"/>
      <c r="C22" s="51"/>
      <c r="D22" s="21"/>
      <c r="E22" s="54"/>
      <c r="F22" s="55"/>
      <c r="G22" s="12">
        <f>(30880.8*36.744)/1000000</f>
        <v>1.1346841151999998</v>
      </c>
      <c r="H22" s="21"/>
      <c r="I22" s="51"/>
      <c r="J22" s="21">
        <f>((5386534*0.907185)*36.744)/1000000</f>
        <v>179.55260012245176</v>
      </c>
      <c r="K22" s="53"/>
      <c r="L22" s="12">
        <f>(1919708.1*36.744)/1000000</f>
        <v>70.537754426399999</v>
      </c>
      <c r="M22" s="12"/>
      <c r="N22" s="21"/>
    </row>
    <row r="23" spans="1:14" ht="16.5" customHeight="1" x14ac:dyDescent="0.2">
      <c r="A23" s="28" t="s">
        <v>63</v>
      </c>
      <c r="B23" s="32"/>
      <c r="C23" s="32"/>
      <c r="D23" s="51"/>
      <c r="E23" s="54">
        <f>N19</f>
        <v>2254.8820000000001</v>
      </c>
      <c r="F23" s="56"/>
      <c r="G23" s="12">
        <f>SUM(G20:G22)</f>
        <v>3.6301198055999997</v>
      </c>
      <c r="H23" s="21">
        <f>E23+F23+G23</f>
        <v>2258.5121198055999</v>
      </c>
      <c r="I23" s="21"/>
      <c r="J23" s="21">
        <f>SUM(J20:J22)</f>
        <v>555.11206811779459</v>
      </c>
      <c r="K23" s="57">
        <f>M23-L23-J23</f>
        <v>78.863643864605251</v>
      </c>
      <c r="L23" s="12">
        <f>SUM(L20:L22)</f>
        <v>243.14240782320002</v>
      </c>
      <c r="M23" s="12">
        <f>H23-N23</f>
        <v>877.11811980559992</v>
      </c>
      <c r="N23" s="21">
        <v>1381.394</v>
      </c>
    </row>
    <row r="24" spans="1:14" ht="16.5" customHeight="1" x14ac:dyDescent="0.2">
      <c r="A24" s="28" t="s">
        <v>122</v>
      </c>
      <c r="B24" s="32"/>
      <c r="C24" s="32"/>
      <c r="D24" s="21"/>
      <c r="E24" s="54"/>
      <c r="F24" s="56"/>
      <c r="G24" s="12">
        <f>(44941.8*36.744)/1000000</f>
        <v>1.6513414992000002</v>
      </c>
      <c r="H24" s="21"/>
      <c r="I24" s="21"/>
      <c r="J24" s="21">
        <f>((5318419*0.907185)*36.744)/1000000</f>
        <v>177.28208157428318</v>
      </c>
      <c r="K24" s="57"/>
      <c r="L24" s="12">
        <f>(1779978.9*36.744)/1000000</f>
        <v>65.403544701599998</v>
      </c>
      <c r="M24" s="12"/>
      <c r="N24" s="21"/>
    </row>
    <row r="25" spans="1:14" ht="16.5" customHeight="1" x14ac:dyDescent="0.2">
      <c r="A25" s="28" t="s">
        <v>123</v>
      </c>
      <c r="B25" s="32"/>
      <c r="C25" s="32"/>
      <c r="D25" s="21"/>
      <c r="E25" s="54"/>
      <c r="F25" s="56"/>
      <c r="G25" s="12">
        <f>(47973.5*36.744)/1000000</f>
        <v>1.7627382839999999</v>
      </c>
      <c r="H25" s="21"/>
      <c r="I25" s="21"/>
      <c r="J25" s="21">
        <f>((5535196*0.907185)*36.744)/1000000</f>
        <v>184.50804060410545</v>
      </c>
      <c r="K25" s="57"/>
      <c r="L25" s="12">
        <f>(2245645.1*36.744)/1000000</f>
        <v>82.513983554399999</v>
      </c>
      <c r="M25" s="12"/>
      <c r="N25" s="21"/>
    </row>
    <row r="26" spans="1:14" ht="16.5" customHeight="1" x14ac:dyDescent="0.2">
      <c r="A26" s="28" t="s">
        <v>124</v>
      </c>
      <c r="B26" s="32"/>
      <c r="C26" s="32"/>
      <c r="D26" s="21"/>
      <c r="E26" s="54"/>
      <c r="F26" s="56"/>
      <c r="G26" s="12">
        <f>(19002.3*36.744)/1000000</f>
        <v>0.69822051119999995</v>
      </c>
      <c r="H26" s="21"/>
      <c r="I26" s="21"/>
      <c r="J26" s="21">
        <f>((5240230*0.907185)*36.744)/1000000</f>
        <v>174.67576028289722</v>
      </c>
      <c r="K26" s="57"/>
      <c r="L26" s="12">
        <f>(4635188.1*36.744)/1000000</f>
        <v>170.31535154639997</v>
      </c>
      <c r="M26" s="12"/>
      <c r="N26" s="21"/>
    </row>
    <row r="27" spans="1:14" ht="16.5" customHeight="1" x14ac:dyDescent="0.2">
      <c r="A27" s="28" t="s">
        <v>127</v>
      </c>
      <c r="B27" s="32"/>
      <c r="C27" s="32"/>
      <c r="D27" s="51"/>
      <c r="E27" s="54">
        <f>N23</f>
        <v>1381.394</v>
      </c>
      <c r="F27" s="56"/>
      <c r="G27" s="12">
        <f>SUM(G24:G26)</f>
        <v>4.1123002943999998</v>
      </c>
      <c r="H27" s="21">
        <f>E27+F27+G27</f>
        <v>1385.5063002944</v>
      </c>
      <c r="I27" s="21"/>
      <c r="J27" s="21">
        <f>SUM(J24:J26)</f>
        <v>536.4658824612859</v>
      </c>
      <c r="K27" s="57">
        <f>M27-L27-J27</f>
        <v>6.2665380307141731</v>
      </c>
      <c r="L27" s="12">
        <f>SUM(L24:L26)</f>
        <v>318.23287980239996</v>
      </c>
      <c r="M27" s="12">
        <f>H27-N27</f>
        <v>860.96530029439998</v>
      </c>
      <c r="N27" s="21">
        <v>524.54100000000005</v>
      </c>
    </row>
    <row r="28" spans="1:14" ht="16.5" customHeight="1" x14ac:dyDescent="0.2">
      <c r="A28" s="28" t="s">
        <v>3</v>
      </c>
      <c r="B28" s="51"/>
      <c r="C28" s="51"/>
      <c r="D28" s="51"/>
      <c r="E28" s="54"/>
      <c r="F28" s="55">
        <f>F15</f>
        <v>3551.9079999999999</v>
      </c>
      <c r="G28" s="12">
        <f>G15+G19+G23+G27</f>
        <v>15.380623192800002</v>
      </c>
      <c r="H28" s="21">
        <f>E15+F28+G28</f>
        <v>4476.3406231928002</v>
      </c>
      <c r="I28" s="51"/>
      <c r="J28" s="21">
        <f>J15+J19+J23+J27</f>
        <v>2164.571916009776</v>
      </c>
      <c r="K28" s="57">
        <f>K15+K19+K23+K27</f>
        <v>107.97710436542383</v>
      </c>
      <c r="L28" s="12">
        <f>L15+L19+L23+L27</f>
        <v>1679.2506028176001</v>
      </c>
      <c r="M28" s="12">
        <f>M15+M19+M23+M27</f>
        <v>3951.7996231928005</v>
      </c>
      <c r="N28" s="21"/>
    </row>
    <row r="29" spans="1:14" ht="16.5" customHeight="1" x14ac:dyDescent="0.2">
      <c r="A29" s="28"/>
      <c r="B29" s="51"/>
      <c r="C29" s="51"/>
      <c r="D29" s="51"/>
      <c r="E29" s="54"/>
      <c r="F29" s="55"/>
      <c r="G29" s="12"/>
      <c r="H29" s="21"/>
      <c r="I29" s="51"/>
      <c r="J29" s="21"/>
      <c r="K29" s="57"/>
      <c r="L29" s="12"/>
      <c r="M29" s="12"/>
      <c r="N29" s="21"/>
    </row>
    <row r="30" spans="1:14" ht="16.5" customHeight="1" x14ac:dyDescent="0.25">
      <c r="A30" s="50" t="s">
        <v>125</v>
      </c>
      <c r="B30" s="51"/>
      <c r="C30" s="51"/>
      <c r="D30" s="51"/>
      <c r="E30" s="54"/>
      <c r="F30" s="55"/>
      <c r="G30" s="12"/>
      <c r="H30" s="21"/>
      <c r="I30" s="51"/>
      <c r="J30" s="21"/>
      <c r="K30" s="57"/>
      <c r="L30" s="12"/>
      <c r="M30" s="12"/>
      <c r="N30" s="21"/>
    </row>
    <row r="31" spans="1:14" ht="16.5" customHeight="1" x14ac:dyDescent="0.2">
      <c r="A31" s="32" t="s">
        <v>58</v>
      </c>
      <c r="B31" s="51"/>
      <c r="C31" s="51"/>
      <c r="D31" s="51"/>
      <c r="E31" s="54"/>
      <c r="F31" s="55"/>
      <c r="G31" s="12">
        <f>(44527.6*36.744)/1000000</f>
        <v>1.6361221343999999</v>
      </c>
      <c r="I31" s="51"/>
      <c r="J31" s="21">
        <f>((5131665*0.907185)*36.744)/1000000</f>
        <v>171.05689738659061</v>
      </c>
      <c r="K31" s="53"/>
      <c r="L31" s="12">
        <f>(7191284.4*36.744)/1000000</f>
        <v>264.23655399360001</v>
      </c>
      <c r="M31" s="12"/>
      <c r="N31" s="21"/>
    </row>
    <row r="32" spans="1:14" ht="16.5" customHeight="1" x14ac:dyDescent="0.2">
      <c r="A32" s="32" t="s">
        <v>45</v>
      </c>
      <c r="B32" s="51"/>
      <c r="C32" s="51"/>
      <c r="D32" s="51"/>
      <c r="E32" s="58"/>
      <c r="F32" s="55"/>
      <c r="G32" s="12">
        <f>(24879.1*36.744)/1000000</f>
        <v>0.91415765039999997</v>
      </c>
      <c r="I32" s="51"/>
      <c r="J32" s="21">
        <f>((5897079*0.907185)*36.744)/1000000</f>
        <v>196.57090581392558</v>
      </c>
      <c r="K32" s="53"/>
      <c r="L32" s="12">
        <f>(11636404.4*36.744)/1000000</f>
        <v>427.56804327359998</v>
      </c>
      <c r="M32" s="12"/>
      <c r="N32" s="21"/>
    </row>
    <row r="33" spans="1:73" ht="16.5" customHeight="1" x14ac:dyDescent="0.2">
      <c r="A33" s="32" t="s">
        <v>46</v>
      </c>
      <c r="B33" s="51"/>
      <c r="C33" s="51"/>
      <c r="D33" s="51"/>
      <c r="E33" s="58"/>
      <c r="F33" s="55"/>
      <c r="G33" s="12">
        <f>(12431.7*36.744)/1000000</f>
        <v>0.4567903848</v>
      </c>
      <c r="I33" s="51"/>
      <c r="J33" s="21">
        <f>((5731207*0.907185)*36.744)/1000000</f>
        <v>191.04179397920748</v>
      </c>
      <c r="K33" s="53"/>
      <c r="L33" s="12">
        <f>(10867331.6*36.744)/1000000</f>
        <v>399.30923231040003</v>
      </c>
      <c r="M33" s="12"/>
      <c r="N33" s="21"/>
    </row>
    <row r="34" spans="1:73" ht="16.5" customHeight="1" x14ac:dyDescent="0.2">
      <c r="A34" s="32" t="s">
        <v>61</v>
      </c>
      <c r="B34" s="51"/>
      <c r="C34" s="51"/>
      <c r="D34" s="51"/>
      <c r="E34" s="54">
        <f>N27</f>
        <v>524.54100000000005</v>
      </c>
      <c r="F34" s="55">
        <v>4135.4769999999999</v>
      </c>
      <c r="G34" s="12">
        <f>G31+G32+G33</f>
        <v>3.0070701696</v>
      </c>
      <c r="H34" s="21">
        <f>E34+F34+G34</f>
        <v>4663.0250701696004</v>
      </c>
      <c r="I34" s="51"/>
      <c r="J34" s="21">
        <f>J31+J32+J33</f>
        <v>558.66959717972361</v>
      </c>
      <c r="K34" s="53">
        <f>M34-L34-J34</f>
        <v>66.501643412277076</v>
      </c>
      <c r="L34" s="12">
        <f>L31+L32+L33</f>
        <v>1091.1138295776</v>
      </c>
      <c r="M34" s="12">
        <f>H34-N34</f>
        <v>1716.2850701696007</v>
      </c>
      <c r="N34" s="21">
        <v>2946.74</v>
      </c>
    </row>
    <row r="35" spans="1:73" ht="16.899999999999999" customHeight="1" x14ac:dyDescent="0.2">
      <c r="A35" s="28" t="s">
        <v>47</v>
      </c>
      <c r="B35" s="51"/>
      <c r="C35" s="51"/>
      <c r="D35" s="51"/>
      <c r="E35" s="54"/>
      <c r="F35" s="12"/>
      <c r="G35" s="12">
        <f>(23426.8*36.744)/1000000</f>
        <v>0.86079433919999992</v>
      </c>
      <c r="H35" s="21"/>
      <c r="I35" s="51"/>
      <c r="J35" s="21">
        <f>((5794233*0.907185)*36.744)/1000000</f>
        <v>193.14267780827416</v>
      </c>
      <c r="K35" s="53"/>
      <c r="L35" s="12">
        <f>(10445198.5*36.744)/1000000</f>
        <v>383.79837368400001</v>
      </c>
      <c r="M35" s="12"/>
      <c r="N35" s="21"/>
    </row>
    <row r="36" spans="1:73" ht="16.899999999999999" customHeight="1" x14ac:dyDescent="0.2">
      <c r="A36" s="28" t="s">
        <v>48</v>
      </c>
      <c r="B36" s="51"/>
      <c r="C36" s="51"/>
      <c r="D36" s="51"/>
      <c r="E36" s="54"/>
      <c r="F36" s="12"/>
      <c r="G36" s="12">
        <f>(19638*36.744)/1000000</f>
        <v>0.72157867200000003</v>
      </c>
      <c r="H36" s="21"/>
      <c r="I36" s="51"/>
      <c r="J36" s="21">
        <f>((5895360*0.907185)*36.744)/1000000</f>
        <v>196.5136053458304</v>
      </c>
      <c r="K36" s="53"/>
      <c r="L36" s="12">
        <f>(8829299.6*36.744)/1000000</f>
        <v>324.4237845024</v>
      </c>
      <c r="M36" s="12"/>
      <c r="N36" s="21"/>
    </row>
    <row r="37" spans="1:73" ht="16.899999999999999" customHeight="1" x14ac:dyDescent="0.2">
      <c r="A37" s="28" t="s">
        <v>49</v>
      </c>
      <c r="B37" s="51"/>
      <c r="C37" s="51"/>
      <c r="D37" s="51"/>
      <c r="E37" s="54"/>
      <c r="F37" s="12"/>
      <c r="G37" s="12">
        <f>(22552.9*36.744)/1000000</f>
        <v>0.82868375760000001</v>
      </c>
      <c r="H37" s="21"/>
      <c r="I37" s="51"/>
      <c r="J37" s="21">
        <f>((4930499*0.907185)*36.744)/1000000</f>
        <v>164.35130927441435</v>
      </c>
      <c r="K37" s="53"/>
      <c r="L37" s="12">
        <f>(4558707.1*36.744)/1000000</f>
        <v>167.50513368239999</v>
      </c>
      <c r="M37" s="12"/>
      <c r="N37" s="21"/>
    </row>
    <row r="38" spans="1:73" ht="16.899999999999999" customHeight="1" x14ac:dyDescent="0.2">
      <c r="A38" s="28" t="s">
        <v>62</v>
      </c>
      <c r="B38" s="51"/>
      <c r="C38" s="51"/>
      <c r="D38" s="51"/>
      <c r="E38" s="54">
        <f>N34</f>
        <v>2946.74</v>
      </c>
      <c r="F38" s="12"/>
      <c r="G38" s="12">
        <f>SUM(G35:G37)</f>
        <v>2.4110567688</v>
      </c>
      <c r="H38" s="21">
        <f>E38+F38+G38</f>
        <v>2949.1510567687997</v>
      </c>
      <c r="I38" s="51"/>
      <c r="J38" s="21">
        <f>SUM(J35:J37)</f>
        <v>554.00759242851893</v>
      </c>
      <c r="K38" s="53">
        <f>M38-L38-J38</f>
        <v>-42.267827528519319</v>
      </c>
      <c r="L38" s="12">
        <f>SUM(L35:L37)</f>
        <v>875.72729186880008</v>
      </c>
      <c r="M38" s="12">
        <f>H38-N38</f>
        <v>1387.4670567687997</v>
      </c>
      <c r="N38" s="21">
        <v>1561.684</v>
      </c>
    </row>
    <row r="39" spans="1:73" ht="16.899999999999999" customHeight="1" x14ac:dyDescent="0.2">
      <c r="A39" s="28" t="s">
        <v>50</v>
      </c>
      <c r="B39" s="51"/>
      <c r="C39" s="51"/>
      <c r="D39" s="51"/>
      <c r="E39" s="54"/>
      <c r="F39" s="12"/>
      <c r="G39" s="12">
        <f>(26142.7*36.744)/1000000</f>
        <v>0.96058736880000006</v>
      </c>
      <c r="H39" s="21"/>
      <c r="I39" s="51"/>
      <c r="J39" s="21">
        <f>((5646728*0.907185)*36.744)/1000000</f>
        <v>188.22580430834591</v>
      </c>
      <c r="K39" s="53"/>
      <c r="L39" s="12">
        <f>(2295121.8*36.744)/1000000</f>
        <v>84.331955419199986</v>
      </c>
      <c r="M39" s="12"/>
      <c r="N39" s="59"/>
    </row>
    <row r="40" spans="1:73" ht="16.899999999999999" customHeight="1" x14ac:dyDescent="0.2">
      <c r="A40" s="28" t="s">
        <v>51</v>
      </c>
      <c r="B40" s="51"/>
      <c r="C40" s="51"/>
      <c r="D40" s="51"/>
      <c r="E40" s="54"/>
      <c r="F40" s="12"/>
      <c r="G40" s="12">
        <f>(34734.1*36.744)/1000000</f>
        <v>1.2762697704000001</v>
      </c>
      <c r="H40" s="21"/>
      <c r="I40" s="51"/>
      <c r="J40" s="21">
        <f>((5095631*0.907185)*36.744)/1000000</f>
        <v>169.85575424095885</v>
      </c>
      <c r="K40" s="53"/>
      <c r="L40" s="12">
        <f>(1384924.4*36.744)/1000000</f>
        <v>50.887662153599997</v>
      </c>
      <c r="M40" s="12"/>
      <c r="N40" s="59"/>
    </row>
    <row r="41" spans="1:73" ht="16.899999999999999" customHeight="1" x14ac:dyDescent="0.2">
      <c r="A41" s="28" t="s">
        <v>52</v>
      </c>
      <c r="B41" s="51"/>
      <c r="C41" s="51"/>
      <c r="D41" s="51"/>
      <c r="E41" s="54"/>
      <c r="F41" s="12"/>
      <c r="G41" s="12">
        <f>(51046.1*36.744)/1000000</f>
        <v>1.8756378983999997</v>
      </c>
      <c r="H41" s="21"/>
      <c r="I41" s="51"/>
      <c r="J41" s="21">
        <f>((5205032*0.907185)*36.744)/1000000</f>
        <v>173.50248403158051</v>
      </c>
      <c r="K41" s="53"/>
      <c r="L41" s="12">
        <f>(1266685.1*36.744)/1000000</f>
        <v>46.543077314400001</v>
      </c>
      <c r="M41" s="12"/>
      <c r="N41" s="59"/>
    </row>
    <row r="42" spans="1:73" ht="16.899999999999999" customHeight="1" x14ac:dyDescent="0.2">
      <c r="A42" s="28" t="s">
        <v>63</v>
      </c>
      <c r="B42" s="51"/>
      <c r="C42" s="51"/>
      <c r="D42" s="51"/>
      <c r="E42" s="54">
        <f>N38</f>
        <v>1561.684</v>
      </c>
      <c r="F42" s="12"/>
      <c r="G42" s="12">
        <f>SUM(G39:G41)</f>
        <v>4.1124950375999996</v>
      </c>
      <c r="H42" s="21">
        <f>E42+F42+G42</f>
        <v>1565.7964950375999</v>
      </c>
      <c r="I42" s="51"/>
      <c r="J42" s="22">
        <f>SUM(J39:J41)</f>
        <v>531.58404258088524</v>
      </c>
      <c r="K42" s="53">
        <f>M42-L42-J42</f>
        <v>85.668757569514696</v>
      </c>
      <c r="L42" s="12">
        <f>SUM(L39:L41)</f>
        <v>181.76269488719998</v>
      </c>
      <c r="M42" s="12">
        <f>H42-N42</f>
        <v>799.01549503759998</v>
      </c>
      <c r="N42" s="21">
        <v>766.78099999999995</v>
      </c>
    </row>
    <row r="43" spans="1:73" ht="16.899999999999999" customHeight="1" x14ac:dyDescent="0.2">
      <c r="A43" s="28" t="s">
        <v>53</v>
      </c>
      <c r="B43" s="51"/>
      <c r="C43" s="51"/>
      <c r="D43" s="51"/>
      <c r="E43" s="54"/>
      <c r="F43" s="12"/>
      <c r="G43" s="12">
        <f>(205436.7*36.744)/1000000</f>
        <v>7.5485661048000008</v>
      </c>
      <c r="H43" s="21"/>
      <c r="I43" s="51"/>
      <c r="J43" s="22">
        <f>((4852334*0.907185)*36.744)/1000000</f>
        <v>161.74578798956375</v>
      </c>
      <c r="K43" s="53"/>
      <c r="L43" s="12">
        <f>(925497.6*36.744)/1000000</f>
        <v>34.006483814399999</v>
      </c>
      <c r="M43" s="12"/>
      <c r="N43" s="21"/>
    </row>
    <row r="44" spans="1:73" ht="16.899999999999999" customHeight="1" x14ac:dyDescent="0.2">
      <c r="A44" s="28" t="s">
        <v>55</v>
      </c>
      <c r="B44" s="51"/>
      <c r="C44" s="51"/>
      <c r="D44" s="51"/>
      <c r="E44" s="54"/>
      <c r="F44" s="12"/>
      <c r="G44" s="12">
        <f>(59776.6*36.744)/1000000</f>
        <v>2.1964313903999999</v>
      </c>
      <c r="H44" s="21"/>
      <c r="I44" s="51"/>
      <c r="J44" s="22">
        <f>((4990975*0.907185)*36.744)/1000000</f>
        <v>166.367192409099</v>
      </c>
      <c r="K44" s="53"/>
      <c r="L44" s="12">
        <f>(945804.5*36.744)/1000000</f>
        <v>34.752640548000002</v>
      </c>
      <c r="M44" s="12"/>
      <c r="N44" s="21"/>
    </row>
    <row r="45" spans="1:73" ht="16.5" customHeight="1" x14ac:dyDescent="0.2">
      <c r="A45" s="26" t="s">
        <v>126</v>
      </c>
      <c r="B45" s="60"/>
      <c r="C45" s="60"/>
      <c r="D45" s="60"/>
      <c r="E45" s="61"/>
      <c r="F45" s="62">
        <f>F34</f>
        <v>4135.4769999999999</v>
      </c>
      <c r="G45" s="63">
        <f>G34+G38+G42+G43+G44</f>
        <v>19.275619471200002</v>
      </c>
      <c r="H45" s="8">
        <f>E34+F45+G45</f>
        <v>4679.2936194712001</v>
      </c>
      <c r="I45" s="60"/>
      <c r="J45" s="8">
        <f>J34+J38+J42+J43+J44</f>
        <v>1972.3742125877907</v>
      </c>
      <c r="K45" s="64">
        <f>SUM(K34,K38,K42)</f>
        <v>109.90257345327245</v>
      </c>
      <c r="L45" s="63">
        <f>L34+L38+L42+L43+L44</f>
        <v>2217.3629406959994</v>
      </c>
      <c r="M45" s="63">
        <f>M34+M38+M42</f>
        <v>3902.7676219760006</v>
      </c>
      <c r="N45" s="8"/>
    </row>
    <row r="46" spans="1:73" ht="16.5" customHeight="1" x14ac:dyDescent="0.2">
      <c r="A46" s="65" t="s">
        <v>118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66"/>
      <c r="M46" s="32"/>
      <c r="N46" s="32"/>
    </row>
    <row r="47" spans="1:73" ht="16.5" customHeight="1" x14ac:dyDescent="0.2">
      <c r="A47" s="28" t="s">
        <v>146</v>
      </c>
      <c r="B47" s="28"/>
      <c r="C47" s="28"/>
      <c r="D47" s="28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73" ht="16.5" customHeight="1" x14ac:dyDescent="0.2">
      <c r="A48" s="34" t="s">
        <v>18</v>
      </c>
      <c r="B48" s="68">
        <f ca="1">NOW()</f>
        <v>44452.456168402779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69"/>
      <c r="P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</row>
    <row r="49" spans="6:73" x14ac:dyDescent="0.2">
      <c r="O49" s="69"/>
      <c r="P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</row>
    <row r="50" spans="6:73" x14ac:dyDescent="0.2">
      <c r="O50" s="69"/>
      <c r="P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</row>
    <row r="51" spans="6:73" x14ac:dyDescent="0.2">
      <c r="O51" s="69"/>
      <c r="P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</row>
    <row r="52" spans="6:73" x14ac:dyDescent="0.2">
      <c r="F52" s="70"/>
      <c r="O52" s="69"/>
      <c r="P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</row>
    <row r="53" spans="6:73" x14ac:dyDescent="0.2">
      <c r="O53" s="69"/>
      <c r="P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6:73" x14ac:dyDescent="0.2">
      <c r="O54" s="69"/>
      <c r="P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</row>
    <row r="55" spans="6:73" x14ac:dyDescent="0.2">
      <c r="O55" s="69"/>
      <c r="P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</row>
    <row r="56" spans="6:73" x14ac:dyDescent="0.2">
      <c r="O56" s="69"/>
      <c r="P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</row>
    <row r="57" spans="6:73" x14ac:dyDescent="0.2">
      <c r="O57" s="69"/>
      <c r="P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</row>
    <row r="58" spans="6:73" x14ac:dyDescent="0.2">
      <c r="O58" s="69"/>
      <c r="P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</row>
    <row r="59" spans="6:73" x14ac:dyDescent="0.2">
      <c r="O59" s="69"/>
      <c r="P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</row>
    <row r="60" spans="6:73" x14ac:dyDescent="0.2">
      <c r="O60" s="69"/>
      <c r="P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</row>
    <row r="61" spans="6:73" x14ac:dyDescent="0.2">
      <c r="O61" s="69"/>
      <c r="P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</row>
    <row r="62" spans="6:73" x14ac:dyDescent="0.2">
      <c r="O62" s="69"/>
      <c r="P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</row>
    <row r="63" spans="6:73" x14ac:dyDescent="0.2">
      <c r="O63" s="69"/>
      <c r="P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</row>
    <row r="64" spans="6:73" x14ac:dyDescent="0.2">
      <c r="O64" s="69"/>
      <c r="P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</row>
    <row r="65" spans="15:73" x14ac:dyDescent="0.2">
      <c r="O65" s="69"/>
      <c r="P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</row>
    <row r="66" spans="15:73" x14ac:dyDescent="0.2">
      <c r="O66" s="69"/>
      <c r="P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</row>
    <row r="67" spans="15:73" x14ac:dyDescent="0.2">
      <c r="O67" s="69"/>
      <c r="P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5:73" x14ac:dyDescent="0.2">
      <c r="O68" s="69"/>
      <c r="P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</row>
    <row r="69" spans="15:73" x14ac:dyDescent="0.2">
      <c r="O69" s="69"/>
      <c r="P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</row>
    <row r="70" spans="15:73" x14ac:dyDescent="0.2">
      <c r="O70" s="69"/>
      <c r="P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</row>
    <row r="71" spans="15:73" x14ac:dyDescent="0.2">
      <c r="O71" s="69"/>
      <c r="P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</row>
    <row r="72" spans="15:73" x14ac:dyDescent="0.2">
      <c r="O72" s="69"/>
      <c r="P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</row>
    <row r="73" spans="15:73" x14ac:dyDescent="0.2">
      <c r="O73" s="69"/>
      <c r="P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</row>
    <row r="74" spans="15:73" x14ac:dyDescent="0.2">
      <c r="O74" s="69"/>
      <c r="P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</row>
    <row r="75" spans="15:73" x14ac:dyDescent="0.2">
      <c r="O75" s="69"/>
      <c r="P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</row>
    <row r="76" spans="15:73" x14ac:dyDescent="0.2"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</row>
    <row r="77" spans="15:73" x14ac:dyDescent="0.2"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</row>
    <row r="78" spans="15:73" x14ac:dyDescent="0.2"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</row>
    <row r="79" spans="15:73" x14ac:dyDescent="0.2"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</row>
    <row r="80" spans="15:73" x14ac:dyDescent="0.2"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</row>
    <row r="81" spans="15:73" x14ac:dyDescent="0.2"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</row>
    <row r="82" spans="15:73" x14ac:dyDescent="0.2"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</row>
    <row r="83" spans="15:73" x14ac:dyDescent="0.2"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</row>
    <row r="84" spans="15:73" x14ac:dyDescent="0.2"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</row>
    <row r="85" spans="15:73" x14ac:dyDescent="0.2"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</row>
    <row r="86" spans="15:73" x14ac:dyDescent="0.2"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</row>
    <row r="87" spans="15:73" x14ac:dyDescent="0.2"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</row>
    <row r="88" spans="15:73" x14ac:dyDescent="0.2"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</row>
    <row r="89" spans="15:73" x14ac:dyDescent="0.2"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</row>
    <row r="90" spans="15:73" x14ac:dyDescent="0.2"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</row>
    <row r="91" spans="15:73" x14ac:dyDescent="0.2"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</row>
    <row r="92" spans="15:73" x14ac:dyDescent="0.2"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</row>
    <row r="93" spans="15:73" x14ac:dyDescent="0.2"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</row>
    <row r="94" spans="15:73" x14ac:dyDescent="0.2"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</row>
    <row r="95" spans="15:73" x14ac:dyDescent="0.2"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</row>
    <row r="96" spans="15:73" x14ac:dyDescent="0.2"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</row>
    <row r="97" spans="15:73" x14ac:dyDescent="0.2"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</row>
    <row r="98" spans="15:73" x14ac:dyDescent="0.2"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</row>
    <row r="99" spans="15:73" x14ac:dyDescent="0.2"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</row>
    <row r="100" spans="15:73" x14ac:dyDescent="0.2"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</row>
    <row r="101" spans="15:73" x14ac:dyDescent="0.2"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</row>
    <row r="102" spans="15:73" x14ac:dyDescent="0.2"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</row>
    <row r="103" spans="15:73" x14ac:dyDescent="0.2"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</row>
    <row r="104" spans="15:73" x14ac:dyDescent="0.2"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</row>
    <row r="105" spans="15:73" x14ac:dyDescent="0.2"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</row>
    <row r="106" spans="15:73" x14ac:dyDescent="0.2"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</row>
    <row r="107" spans="15:73" x14ac:dyDescent="0.2"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</row>
    <row r="108" spans="15:73" x14ac:dyDescent="0.2"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</row>
    <row r="109" spans="15:73" x14ac:dyDescent="0.2"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</row>
    <row r="110" spans="15:73" x14ac:dyDescent="0.2"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</row>
    <row r="111" spans="15:73" x14ac:dyDescent="0.2"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</row>
    <row r="112" spans="15:73" x14ac:dyDescent="0.2"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</row>
    <row r="113" spans="15:73" x14ac:dyDescent="0.2"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</row>
    <row r="114" spans="15:73" x14ac:dyDescent="0.2"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</row>
    <row r="115" spans="15:73" x14ac:dyDescent="0.2"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</row>
    <row r="116" spans="15:73" x14ac:dyDescent="0.2"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</row>
    <row r="117" spans="15:73" x14ac:dyDescent="0.2"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</row>
    <row r="118" spans="15:73" x14ac:dyDescent="0.2"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</row>
    <row r="119" spans="15:73" x14ac:dyDescent="0.2"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</row>
    <row r="120" spans="15:73" x14ac:dyDescent="0.2"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</row>
    <row r="121" spans="15:73" x14ac:dyDescent="0.2"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</row>
    <row r="122" spans="15:73" x14ac:dyDescent="0.2"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</row>
    <row r="123" spans="15:73" x14ac:dyDescent="0.2"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</row>
    <row r="124" spans="15:73" x14ac:dyDescent="0.2"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</row>
    <row r="125" spans="15:73" x14ac:dyDescent="0.2"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</row>
    <row r="126" spans="15:73" x14ac:dyDescent="0.2"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</row>
    <row r="127" spans="15:73" x14ac:dyDescent="0.2"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</row>
    <row r="128" spans="15:73" x14ac:dyDescent="0.2"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</row>
    <row r="129" spans="15:73" x14ac:dyDescent="0.2"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</row>
    <row r="130" spans="15:73" x14ac:dyDescent="0.2"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</row>
    <row r="131" spans="15:73" x14ac:dyDescent="0.2"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</row>
    <row r="132" spans="15:73" x14ac:dyDescent="0.2"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</row>
    <row r="133" spans="15:73" x14ac:dyDescent="0.2"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</row>
    <row r="134" spans="15:73" x14ac:dyDescent="0.2"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</row>
    <row r="135" spans="15:73" x14ac:dyDescent="0.2"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</row>
    <row r="136" spans="15:73" x14ac:dyDescent="0.2"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</row>
    <row r="137" spans="15:73" x14ac:dyDescent="0.2"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</row>
    <row r="138" spans="15:73" x14ac:dyDescent="0.2"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</row>
    <row r="139" spans="15:73" x14ac:dyDescent="0.2"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</row>
    <row r="140" spans="15:73" x14ac:dyDescent="0.2"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</row>
    <row r="141" spans="15:73" x14ac:dyDescent="0.2"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</row>
    <row r="142" spans="15:73" x14ac:dyDescent="0.2"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</row>
    <row r="143" spans="15:73" x14ac:dyDescent="0.2"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</row>
    <row r="144" spans="15:73" x14ac:dyDescent="0.2"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</row>
    <row r="145" spans="15:73" x14ac:dyDescent="0.2"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</row>
    <row r="146" spans="15:73" x14ac:dyDescent="0.2"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</row>
    <row r="147" spans="15:73" x14ac:dyDescent="0.2"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</row>
    <row r="148" spans="15:73" x14ac:dyDescent="0.2"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</row>
    <row r="149" spans="15:73" x14ac:dyDescent="0.2"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</row>
    <row r="150" spans="15:73" x14ac:dyDescent="0.2"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</row>
    <row r="151" spans="15:73" x14ac:dyDescent="0.2"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</row>
    <row r="152" spans="15:73" x14ac:dyDescent="0.2"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</row>
    <row r="153" spans="15:73" x14ac:dyDescent="0.2"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</row>
    <row r="154" spans="15:73" x14ac:dyDescent="0.2"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</row>
    <row r="155" spans="15:73" x14ac:dyDescent="0.2"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</row>
    <row r="156" spans="15:73" x14ac:dyDescent="0.2"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</row>
    <row r="157" spans="15:73" x14ac:dyDescent="0.2"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</row>
    <row r="158" spans="15:73" x14ac:dyDescent="0.2"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</row>
    <row r="159" spans="15:73" x14ac:dyDescent="0.2"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</row>
    <row r="160" spans="15:73" x14ac:dyDescent="0.2"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</row>
    <row r="161" spans="15:73" x14ac:dyDescent="0.2"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</row>
    <row r="162" spans="15:73" x14ac:dyDescent="0.2"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</row>
    <row r="163" spans="15:73" x14ac:dyDescent="0.2"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</row>
    <row r="164" spans="15:73" x14ac:dyDescent="0.2"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</row>
    <row r="165" spans="15:73" x14ac:dyDescent="0.2"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</row>
    <row r="166" spans="15:73" x14ac:dyDescent="0.2"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</row>
    <row r="167" spans="15:73" x14ac:dyDescent="0.2"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</row>
    <row r="168" spans="15:73" x14ac:dyDescent="0.2"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</row>
    <row r="169" spans="15:73" x14ac:dyDescent="0.2"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</row>
    <row r="170" spans="15:73" x14ac:dyDescent="0.2"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</row>
    <row r="171" spans="15:73" x14ac:dyDescent="0.2"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</row>
    <row r="172" spans="15:73" x14ac:dyDescent="0.2"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</row>
    <row r="173" spans="15:73" x14ac:dyDescent="0.2"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</row>
    <row r="174" spans="15:73" x14ac:dyDescent="0.2"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</row>
    <row r="175" spans="15:73" x14ac:dyDescent="0.2"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</row>
    <row r="176" spans="15:73" x14ac:dyDescent="0.2"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</row>
    <row r="177" spans="15:73" x14ac:dyDescent="0.2"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</row>
    <row r="178" spans="15:73" x14ac:dyDescent="0.2"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</row>
    <row r="179" spans="15:73" x14ac:dyDescent="0.2"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</row>
    <row r="180" spans="15:73" x14ac:dyDescent="0.2"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</row>
    <row r="181" spans="15:73" x14ac:dyDescent="0.2"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</row>
    <row r="182" spans="15:73" x14ac:dyDescent="0.2"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</row>
    <row r="183" spans="15:73" x14ac:dyDescent="0.2"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</row>
    <row r="184" spans="15:73" x14ac:dyDescent="0.2"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</row>
    <row r="185" spans="15:73" x14ac:dyDescent="0.2"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</row>
    <row r="186" spans="15:73" x14ac:dyDescent="0.2"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</row>
    <row r="187" spans="15:73" x14ac:dyDescent="0.2"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</row>
    <row r="188" spans="15:73" x14ac:dyDescent="0.2"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</row>
    <row r="189" spans="15:73" x14ac:dyDescent="0.2"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</row>
    <row r="190" spans="15:73" x14ac:dyDescent="0.2"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</row>
    <row r="191" spans="15:73" x14ac:dyDescent="0.2"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</row>
    <row r="192" spans="15:73" x14ac:dyDescent="0.2"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</row>
    <row r="193" spans="15:73" x14ac:dyDescent="0.2"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</row>
    <row r="194" spans="15:73" x14ac:dyDescent="0.2"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</row>
    <row r="195" spans="15:73" x14ac:dyDescent="0.2"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</row>
    <row r="196" spans="15:73" x14ac:dyDescent="0.2"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</row>
    <row r="197" spans="15:73" x14ac:dyDescent="0.2"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</row>
    <row r="198" spans="15:73" x14ac:dyDescent="0.2"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</row>
    <row r="199" spans="15:73" x14ac:dyDescent="0.2"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</row>
    <row r="200" spans="15:73" x14ac:dyDescent="0.2"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</row>
    <row r="201" spans="15:73" x14ac:dyDescent="0.2"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</row>
    <row r="202" spans="15:73" x14ac:dyDescent="0.2"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</row>
    <row r="203" spans="15:73" x14ac:dyDescent="0.2"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</row>
    <row r="204" spans="15:73" x14ac:dyDescent="0.2"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</row>
    <row r="205" spans="15:73" x14ac:dyDescent="0.2"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</row>
    <row r="206" spans="15:73" x14ac:dyDescent="0.2"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</row>
    <row r="207" spans="15:73" x14ac:dyDescent="0.2"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</row>
    <row r="208" spans="15:73" x14ac:dyDescent="0.2"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</row>
    <row r="209" spans="15:73" x14ac:dyDescent="0.2"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</row>
    <row r="210" spans="15:73" x14ac:dyDescent="0.2"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</row>
    <row r="211" spans="15:73" x14ac:dyDescent="0.2"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</row>
    <row r="212" spans="15:73" x14ac:dyDescent="0.2"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</row>
    <row r="213" spans="15:73" x14ac:dyDescent="0.2"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</row>
    <row r="214" spans="15:73" x14ac:dyDescent="0.2"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</row>
    <row r="215" spans="15:73" x14ac:dyDescent="0.2"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</row>
    <row r="216" spans="15:73" x14ac:dyDescent="0.2"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</row>
    <row r="217" spans="15:73" x14ac:dyDescent="0.2"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</row>
    <row r="218" spans="15:73" x14ac:dyDescent="0.2"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</row>
    <row r="219" spans="15:73" x14ac:dyDescent="0.2"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</row>
    <row r="220" spans="15:73" x14ac:dyDescent="0.2"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</row>
    <row r="221" spans="15:73" x14ac:dyDescent="0.2"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</row>
    <row r="222" spans="15:73" x14ac:dyDescent="0.2"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</row>
    <row r="223" spans="15:73" x14ac:dyDescent="0.2"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</row>
    <row r="224" spans="15:73" x14ac:dyDescent="0.2"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</row>
    <row r="225" spans="15:73" x14ac:dyDescent="0.2"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</row>
    <row r="226" spans="15:73" x14ac:dyDescent="0.2"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</row>
    <row r="227" spans="15:73" x14ac:dyDescent="0.2"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</row>
    <row r="228" spans="15:73" x14ac:dyDescent="0.2"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</row>
    <row r="229" spans="15:73" x14ac:dyDescent="0.2"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</row>
    <row r="230" spans="15:73" x14ac:dyDescent="0.2"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</row>
    <row r="231" spans="15:73" x14ac:dyDescent="0.2"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</row>
    <row r="232" spans="15:73" x14ac:dyDescent="0.2"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</row>
    <row r="233" spans="15:73" x14ac:dyDescent="0.2"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</row>
    <row r="234" spans="15:73" x14ac:dyDescent="0.2"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</row>
    <row r="235" spans="15:73" x14ac:dyDescent="0.2"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</row>
    <row r="236" spans="15:73" x14ac:dyDescent="0.2"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</row>
    <row r="237" spans="15:73" x14ac:dyDescent="0.2"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</row>
    <row r="238" spans="15:73" x14ac:dyDescent="0.2"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</row>
    <row r="239" spans="15:73" x14ac:dyDescent="0.2"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</row>
    <row r="240" spans="15:73" x14ac:dyDescent="0.2"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</row>
    <row r="241" spans="15:73" x14ac:dyDescent="0.2"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</row>
    <row r="242" spans="15:73" x14ac:dyDescent="0.2"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</row>
    <row r="243" spans="15:73" x14ac:dyDescent="0.2"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</row>
    <row r="244" spans="15:73" x14ac:dyDescent="0.2"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</row>
    <row r="245" spans="15:73" x14ac:dyDescent="0.2"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</row>
    <row r="246" spans="15:73" x14ac:dyDescent="0.2"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</row>
    <row r="247" spans="15:73" x14ac:dyDescent="0.2"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</row>
    <row r="248" spans="15:73" x14ac:dyDescent="0.2"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</row>
    <row r="249" spans="15:73" x14ac:dyDescent="0.2"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</row>
    <row r="250" spans="15:73" x14ac:dyDescent="0.2"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</row>
    <row r="251" spans="15:73" x14ac:dyDescent="0.2"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</row>
    <row r="252" spans="15:73" x14ac:dyDescent="0.2"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</row>
    <row r="253" spans="15:73" x14ac:dyDescent="0.2"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</row>
    <row r="254" spans="15:73" x14ac:dyDescent="0.2"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</row>
    <row r="255" spans="15:73" x14ac:dyDescent="0.2"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</row>
    <row r="256" spans="15:73" x14ac:dyDescent="0.2"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</row>
    <row r="257" spans="15:73" x14ac:dyDescent="0.2"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</row>
    <row r="258" spans="15:73" x14ac:dyDescent="0.2"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</row>
    <row r="259" spans="15:73" x14ac:dyDescent="0.2"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</row>
    <row r="260" spans="15:73" x14ac:dyDescent="0.2"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</row>
    <row r="261" spans="15:73" x14ac:dyDescent="0.2"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</row>
    <row r="262" spans="15:73" x14ac:dyDescent="0.2"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</row>
    <row r="263" spans="15:73" x14ac:dyDescent="0.2"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</row>
    <row r="264" spans="15:73" x14ac:dyDescent="0.2"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</row>
    <row r="265" spans="15:73" x14ac:dyDescent="0.2"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</row>
    <row r="266" spans="15:73" x14ac:dyDescent="0.2"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</row>
    <row r="267" spans="15:73" x14ac:dyDescent="0.2"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</row>
    <row r="268" spans="15:73" x14ac:dyDescent="0.2"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</row>
    <row r="269" spans="15:73" x14ac:dyDescent="0.2"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</row>
    <row r="270" spans="15:73" x14ac:dyDescent="0.2"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</row>
    <row r="271" spans="15:73" x14ac:dyDescent="0.2"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</row>
    <row r="272" spans="15:73" x14ac:dyDescent="0.2"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</row>
    <row r="273" spans="15:73" x14ac:dyDescent="0.2"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</row>
    <row r="274" spans="15:73" x14ac:dyDescent="0.2"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</row>
    <row r="275" spans="15:73" x14ac:dyDescent="0.2"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</row>
    <row r="276" spans="15:73" x14ac:dyDescent="0.2"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</row>
    <row r="277" spans="15:73" x14ac:dyDescent="0.2"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</row>
    <row r="278" spans="15:73" x14ac:dyDescent="0.2"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</row>
    <row r="279" spans="15:73" x14ac:dyDescent="0.2"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</row>
    <row r="280" spans="15:73" x14ac:dyDescent="0.2"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</row>
    <row r="281" spans="15:73" x14ac:dyDescent="0.2"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</row>
    <row r="282" spans="15:73" x14ac:dyDescent="0.2"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</row>
    <row r="283" spans="15:73" x14ac:dyDescent="0.2"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</row>
    <row r="284" spans="15:73" x14ac:dyDescent="0.2"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</row>
    <row r="285" spans="15:73" x14ac:dyDescent="0.2"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</row>
    <row r="286" spans="15:73" x14ac:dyDescent="0.2"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</row>
    <row r="287" spans="15:73" x14ac:dyDescent="0.2"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</row>
    <row r="288" spans="15:73" x14ac:dyDescent="0.2"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</row>
    <row r="289" spans="15:73" x14ac:dyDescent="0.2"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</row>
    <row r="290" spans="15:73" x14ac:dyDescent="0.2"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</row>
    <row r="291" spans="15:73" x14ac:dyDescent="0.2"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</row>
    <row r="292" spans="15:73" x14ac:dyDescent="0.2"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</row>
    <row r="293" spans="15:73" x14ac:dyDescent="0.2"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</row>
    <row r="294" spans="15:73" x14ac:dyDescent="0.2"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</row>
    <row r="295" spans="15:73" x14ac:dyDescent="0.2"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</row>
    <row r="296" spans="15:73" x14ac:dyDescent="0.2"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</row>
    <row r="297" spans="15:73" x14ac:dyDescent="0.2"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</row>
    <row r="298" spans="15:73" x14ac:dyDescent="0.2"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</row>
    <row r="299" spans="15:73" x14ac:dyDescent="0.2"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</row>
    <row r="300" spans="15:73" x14ac:dyDescent="0.2"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</row>
    <row r="301" spans="15:73" x14ac:dyDescent="0.2"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</row>
    <row r="302" spans="15:73" x14ac:dyDescent="0.2"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</row>
    <row r="303" spans="15:73" x14ac:dyDescent="0.2"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</row>
    <row r="304" spans="15:73" x14ac:dyDescent="0.2"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</row>
    <row r="305" spans="15:73" x14ac:dyDescent="0.2"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</row>
    <row r="306" spans="15:73" x14ac:dyDescent="0.2"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</row>
    <row r="307" spans="15:73" x14ac:dyDescent="0.2"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</row>
    <row r="308" spans="15:73" x14ac:dyDescent="0.2"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</row>
    <row r="309" spans="15:73" x14ac:dyDescent="0.2"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</row>
    <row r="310" spans="15:73" x14ac:dyDescent="0.2"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</row>
    <row r="311" spans="15:73" x14ac:dyDescent="0.2"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</row>
    <row r="312" spans="15:73" x14ac:dyDescent="0.2"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</row>
    <row r="313" spans="15:73" x14ac:dyDescent="0.2"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</row>
    <row r="314" spans="15:73" x14ac:dyDescent="0.2"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</row>
    <row r="315" spans="15:73" x14ac:dyDescent="0.2"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</row>
    <row r="316" spans="15:73" x14ac:dyDescent="0.2"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</row>
    <row r="317" spans="15:73" x14ac:dyDescent="0.2"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</row>
    <row r="318" spans="15:73" x14ac:dyDescent="0.2"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</row>
    <row r="319" spans="15:73" x14ac:dyDescent="0.2"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</row>
    <row r="320" spans="15:73" x14ac:dyDescent="0.2"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</row>
    <row r="321" spans="15:73" x14ac:dyDescent="0.2"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</row>
    <row r="322" spans="15:73" x14ac:dyDescent="0.2"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</row>
    <row r="323" spans="15:73" x14ac:dyDescent="0.2"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</row>
    <row r="324" spans="15:73" x14ac:dyDescent="0.2"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</row>
    <row r="325" spans="15:73" x14ac:dyDescent="0.2"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</row>
    <row r="326" spans="15:73" x14ac:dyDescent="0.2"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</row>
    <row r="327" spans="15:73" x14ac:dyDescent="0.2"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</row>
    <row r="328" spans="15:73" x14ac:dyDescent="0.2"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</row>
    <row r="329" spans="15:73" x14ac:dyDescent="0.2"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</row>
    <row r="330" spans="15:73" x14ac:dyDescent="0.2"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</row>
    <row r="331" spans="15:73" x14ac:dyDescent="0.2"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</row>
    <row r="332" spans="15:73" x14ac:dyDescent="0.2"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</row>
    <row r="333" spans="15:73" x14ac:dyDescent="0.2"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</row>
    <row r="334" spans="15:73" x14ac:dyDescent="0.2"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</row>
    <row r="335" spans="15:73" x14ac:dyDescent="0.2"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</row>
    <row r="336" spans="15:73" x14ac:dyDescent="0.2"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</row>
    <row r="337" spans="15:73" x14ac:dyDescent="0.2"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</row>
    <row r="338" spans="15:73" x14ac:dyDescent="0.2"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</row>
    <row r="339" spans="15:73" x14ac:dyDescent="0.2"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</row>
    <row r="340" spans="15:73" x14ac:dyDescent="0.2"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</row>
    <row r="341" spans="15:73" x14ac:dyDescent="0.2"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</row>
    <row r="342" spans="15:73" x14ac:dyDescent="0.2"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</row>
    <row r="343" spans="15:73" x14ac:dyDescent="0.2"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</row>
    <row r="344" spans="15:73" x14ac:dyDescent="0.2"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</row>
    <row r="345" spans="15:73" x14ac:dyDescent="0.2"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</row>
    <row r="346" spans="15:73" x14ac:dyDescent="0.2"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</row>
    <row r="347" spans="15:73" x14ac:dyDescent="0.2"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</row>
    <row r="348" spans="15:73" x14ac:dyDescent="0.2"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</row>
    <row r="349" spans="15:73" x14ac:dyDescent="0.2"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</row>
    <row r="350" spans="15:73" x14ac:dyDescent="0.2"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</row>
    <row r="351" spans="15:73" x14ac:dyDescent="0.2"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</row>
    <row r="352" spans="15:73" x14ac:dyDescent="0.2"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</row>
    <row r="353" spans="15:73" x14ac:dyDescent="0.2"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</row>
    <row r="354" spans="15:73" x14ac:dyDescent="0.2"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</row>
    <row r="355" spans="15:73" x14ac:dyDescent="0.2"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</row>
    <row r="356" spans="15:73" x14ac:dyDescent="0.2"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</row>
    <row r="357" spans="15:73" x14ac:dyDescent="0.2"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</row>
    <row r="358" spans="15:73" x14ac:dyDescent="0.2"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</row>
    <row r="359" spans="15:73" x14ac:dyDescent="0.2"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</row>
    <row r="360" spans="15:73" x14ac:dyDescent="0.2"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</row>
    <row r="361" spans="15:73" x14ac:dyDescent="0.2"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</row>
    <row r="362" spans="15:73" x14ac:dyDescent="0.2"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</row>
    <row r="363" spans="15:73" x14ac:dyDescent="0.2"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</row>
    <row r="364" spans="15:73" x14ac:dyDescent="0.2"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</row>
    <row r="365" spans="15:73" x14ac:dyDescent="0.2"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</row>
    <row r="366" spans="15:73" x14ac:dyDescent="0.2"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</row>
    <row r="367" spans="15:73" x14ac:dyDescent="0.2"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</row>
    <row r="368" spans="15:73" x14ac:dyDescent="0.2"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</row>
    <row r="369" spans="15:73" x14ac:dyDescent="0.2"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</row>
    <row r="370" spans="15:73" x14ac:dyDescent="0.2"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</row>
    <row r="371" spans="15:73" x14ac:dyDescent="0.2"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</row>
    <row r="372" spans="15:73" x14ac:dyDescent="0.2"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</row>
    <row r="373" spans="15:73" x14ac:dyDescent="0.2"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</row>
    <row r="374" spans="15:73" x14ac:dyDescent="0.2"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</row>
    <row r="375" spans="15:73" x14ac:dyDescent="0.2"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</row>
    <row r="376" spans="15:73" x14ac:dyDescent="0.2"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</row>
    <row r="377" spans="15:73" x14ac:dyDescent="0.2"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</row>
    <row r="378" spans="15:73" x14ac:dyDescent="0.2"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</row>
    <row r="379" spans="15:73" x14ac:dyDescent="0.2"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</row>
    <row r="380" spans="15:73" x14ac:dyDescent="0.2"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</row>
    <row r="381" spans="15:73" x14ac:dyDescent="0.2"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</row>
    <row r="382" spans="15:73" x14ac:dyDescent="0.2"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</row>
    <row r="383" spans="15:73" x14ac:dyDescent="0.2"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</row>
    <row r="384" spans="15:73" x14ac:dyDescent="0.2"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</row>
    <row r="385" spans="15:73" x14ac:dyDescent="0.2"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</row>
    <row r="386" spans="15:73" x14ac:dyDescent="0.2"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</row>
    <row r="387" spans="15:73" x14ac:dyDescent="0.2"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</row>
    <row r="388" spans="15:73" x14ac:dyDescent="0.2"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</row>
    <row r="389" spans="15:73" x14ac:dyDescent="0.2"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</row>
    <row r="390" spans="15:73" x14ac:dyDescent="0.2"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</row>
    <row r="391" spans="15:73" x14ac:dyDescent="0.2"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</row>
    <row r="392" spans="15:73" x14ac:dyDescent="0.2"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</row>
    <row r="393" spans="15:73" x14ac:dyDescent="0.2"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</row>
    <row r="394" spans="15:73" x14ac:dyDescent="0.2"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</row>
    <row r="395" spans="15:73" x14ac:dyDescent="0.2"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</row>
    <row r="396" spans="15:73" x14ac:dyDescent="0.2"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</row>
    <row r="397" spans="15:73" x14ac:dyDescent="0.2"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</row>
    <row r="398" spans="15:73" x14ac:dyDescent="0.2"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</row>
    <row r="399" spans="15:73" x14ac:dyDescent="0.2"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</row>
    <row r="400" spans="15:73" x14ac:dyDescent="0.2"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</row>
    <row r="401" spans="15:73" x14ac:dyDescent="0.2"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</row>
    <row r="402" spans="15:73" x14ac:dyDescent="0.2"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</row>
    <row r="403" spans="15:73" x14ac:dyDescent="0.2"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</row>
    <row r="404" spans="15:73" x14ac:dyDescent="0.2"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</row>
    <row r="405" spans="15:73" x14ac:dyDescent="0.2"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</row>
    <row r="406" spans="15:73" x14ac:dyDescent="0.2"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</row>
    <row r="407" spans="15:73" x14ac:dyDescent="0.2"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</row>
    <row r="408" spans="15:73" x14ac:dyDescent="0.2"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</row>
    <row r="409" spans="15:73" x14ac:dyDescent="0.2"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</row>
    <row r="410" spans="15:73" x14ac:dyDescent="0.2"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</row>
    <row r="411" spans="15:73" x14ac:dyDescent="0.2"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</row>
    <row r="412" spans="15:73" x14ac:dyDescent="0.2"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</row>
    <row r="413" spans="15:73" x14ac:dyDescent="0.2"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</row>
    <row r="414" spans="15:73" x14ac:dyDescent="0.2"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</row>
    <row r="415" spans="15:73" x14ac:dyDescent="0.2"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</row>
    <row r="416" spans="15:73" x14ac:dyDescent="0.2"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</row>
    <row r="417" spans="15:73" x14ac:dyDescent="0.2"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</row>
    <row r="418" spans="15:73" x14ac:dyDescent="0.2"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</row>
    <row r="419" spans="15:73" x14ac:dyDescent="0.2"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</row>
    <row r="420" spans="15:73" x14ac:dyDescent="0.2"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</row>
    <row r="421" spans="15:73" x14ac:dyDescent="0.2"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</row>
    <row r="422" spans="15:73" x14ac:dyDescent="0.2"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</row>
    <row r="423" spans="15:73" x14ac:dyDescent="0.2"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</row>
    <row r="424" spans="15:73" x14ac:dyDescent="0.2"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</row>
    <row r="425" spans="15:73" x14ac:dyDescent="0.2"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</row>
    <row r="426" spans="15:73" x14ac:dyDescent="0.2"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</row>
    <row r="427" spans="15:73" x14ac:dyDescent="0.2"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</row>
    <row r="428" spans="15:73" x14ac:dyDescent="0.2"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</row>
    <row r="429" spans="15:73" x14ac:dyDescent="0.2"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</row>
    <row r="430" spans="15:73" x14ac:dyDescent="0.2"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</row>
    <row r="431" spans="15:73" x14ac:dyDescent="0.2"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</row>
    <row r="432" spans="15:73" x14ac:dyDescent="0.2"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</row>
    <row r="433" spans="15:73" x14ac:dyDescent="0.2"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</row>
    <row r="434" spans="15:73" x14ac:dyDescent="0.2"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</row>
    <row r="435" spans="15:73" x14ac:dyDescent="0.2"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</row>
    <row r="436" spans="15:73" x14ac:dyDescent="0.2"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</row>
    <row r="437" spans="15:73" x14ac:dyDescent="0.2"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</row>
    <row r="438" spans="15:73" x14ac:dyDescent="0.2"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</row>
    <row r="439" spans="15:73" x14ac:dyDescent="0.2"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</row>
    <row r="440" spans="15:73" x14ac:dyDescent="0.2"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</row>
    <row r="441" spans="15:73" x14ac:dyDescent="0.2"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</row>
    <row r="442" spans="15:73" x14ac:dyDescent="0.2"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</row>
    <row r="443" spans="15:73" x14ac:dyDescent="0.2"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</row>
    <row r="444" spans="15:73" x14ac:dyDescent="0.2"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</row>
    <row r="445" spans="15:73" x14ac:dyDescent="0.2"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</row>
    <row r="446" spans="15:73" x14ac:dyDescent="0.2"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</row>
    <row r="447" spans="15:73" x14ac:dyDescent="0.2"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</row>
    <row r="448" spans="15:73" x14ac:dyDescent="0.2"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</row>
    <row r="449" spans="15:73" x14ac:dyDescent="0.2"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</row>
    <row r="450" spans="15:73" x14ac:dyDescent="0.2"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</row>
    <row r="451" spans="15:73" x14ac:dyDescent="0.2"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</row>
    <row r="452" spans="15:73" x14ac:dyDescent="0.2"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</row>
    <row r="453" spans="15:73" x14ac:dyDescent="0.2"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</row>
    <row r="454" spans="15:73" x14ac:dyDescent="0.2"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</row>
    <row r="455" spans="15:73" x14ac:dyDescent="0.2"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</row>
    <row r="456" spans="15:73" x14ac:dyDescent="0.2"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</row>
    <row r="457" spans="15:73" x14ac:dyDescent="0.2"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</row>
    <row r="458" spans="15:73" x14ac:dyDescent="0.2"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</row>
    <row r="459" spans="15:73" x14ac:dyDescent="0.2"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</row>
    <row r="460" spans="15:73" x14ac:dyDescent="0.2"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</row>
    <row r="461" spans="15:73" x14ac:dyDescent="0.2"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</row>
    <row r="462" spans="15:73" x14ac:dyDescent="0.2"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</row>
    <row r="463" spans="15:73" x14ac:dyDescent="0.2"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</row>
    <row r="464" spans="15:73" x14ac:dyDescent="0.2"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</row>
    <row r="465" spans="15:73" x14ac:dyDescent="0.2"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</row>
    <row r="466" spans="15:73" x14ac:dyDescent="0.2"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</row>
    <row r="467" spans="15:73" x14ac:dyDescent="0.2"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</row>
    <row r="468" spans="15:73" x14ac:dyDescent="0.2"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</row>
    <row r="469" spans="15:73" x14ac:dyDescent="0.2"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</row>
    <row r="470" spans="15:73" x14ac:dyDescent="0.2"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</row>
    <row r="471" spans="15:73" x14ac:dyDescent="0.2"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</row>
    <row r="472" spans="15:73" x14ac:dyDescent="0.2"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</row>
    <row r="473" spans="15:73" x14ac:dyDescent="0.2"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</row>
    <row r="474" spans="15:73" x14ac:dyDescent="0.2"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</row>
    <row r="475" spans="15:73" x14ac:dyDescent="0.2"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</row>
    <row r="476" spans="15:73" x14ac:dyDescent="0.2"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</row>
    <row r="477" spans="15:73" x14ac:dyDescent="0.2"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</row>
    <row r="478" spans="15:73" x14ac:dyDescent="0.2"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</row>
    <row r="479" spans="15:73" x14ac:dyDescent="0.2"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</row>
    <row r="480" spans="15:73" x14ac:dyDescent="0.2"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</row>
    <row r="481" spans="15:73" x14ac:dyDescent="0.2"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</row>
    <row r="482" spans="15:73" x14ac:dyDescent="0.2"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</row>
    <row r="483" spans="15:73" x14ac:dyDescent="0.2"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</row>
    <row r="484" spans="15:73" x14ac:dyDescent="0.2"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</row>
    <row r="485" spans="15:73" x14ac:dyDescent="0.2"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</row>
    <row r="486" spans="15:73" x14ac:dyDescent="0.2"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</row>
    <row r="487" spans="15:73" x14ac:dyDescent="0.2"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</row>
    <row r="488" spans="15:73" x14ac:dyDescent="0.2"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</row>
    <row r="489" spans="15:73" x14ac:dyDescent="0.2"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</row>
    <row r="490" spans="15:73" x14ac:dyDescent="0.2"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</row>
    <row r="491" spans="15:73" x14ac:dyDescent="0.2"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</row>
    <row r="492" spans="15:73" x14ac:dyDescent="0.2"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</row>
    <row r="493" spans="15:73" x14ac:dyDescent="0.2"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</row>
    <row r="494" spans="15:73" x14ac:dyDescent="0.2"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</row>
    <row r="495" spans="15:73" x14ac:dyDescent="0.2"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</row>
    <row r="496" spans="15:73" x14ac:dyDescent="0.2"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</row>
    <row r="497" spans="15:73" x14ac:dyDescent="0.2"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</row>
    <row r="498" spans="15:73" x14ac:dyDescent="0.2"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</row>
    <row r="499" spans="15:73" x14ac:dyDescent="0.2"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</row>
    <row r="500" spans="15:73" x14ac:dyDescent="0.2"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</row>
    <row r="501" spans="15:73" x14ac:dyDescent="0.2"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</row>
    <row r="502" spans="15:73" x14ac:dyDescent="0.2"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</row>
    <row r="503" spans="15:73" x14ac:dyDescent="0.2"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</row>
    <row r="504" spans="15:73" x14ac:dyDescent="0.2"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</row>
    <row r="505" spans="15:73" x14ac:dyDescent="0.2"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</row>
    <row r="506" spans="15:73" x14ac:dyDescent="0.2"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</row>
    <row r="507" spans="15:73" x14ac:dyDescent="0.2"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</row>
    <row r="508" spans="15:73" x14ac:dyDescent="0.2"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</row>
    <row r="509" spans="15:73" x14ac:dyDescent="0.2"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</row>
    <row r="510" spans="15:73" x14ac:dyDescent="0.2"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</row>
    <row r="511" spans="15:73" x14ac:dyDescent="0.2"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</row>
    <row r="512" spans="15:73" x14ac:dyDescent="0.2"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</row>
    <row r="513" spans="15:73" x14ac:dyDescent="0.2"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</row>
    <row r="514" spans="15:73" x14ac:dyDescent="0.2"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</row>
    <row r="515" spans="15:73" x14ac:dyDescent="0.2"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</row>
    <row r="516" spans="15:73" x14ac:dyDescent="0.2"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</row>
    <row r="517" spans="15:73" x14ac:dyDescent="0.2"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</row>
    <row r="518" spans="15:73" x14ac:dyDescent="0.2"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</row>
    <row r="519" spans="15:73" x14ac:dyDescent="0.2"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</row>
    <row r="520" spans="15:73" x14ac:dyDescent="0.2"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</row>
    <row r="521" spans="15:73" x14ac:dyDescent="0.2"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</row>
    <row r="522" spans="15:73" x14ac:dyDescent="0.2"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</row>
    <row r="523" spans="15:73" x14ac:dyDescent="0.2"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</row>
    <row r="524" spans="15:73" x14ac:dyDescent="0.2"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</row>
    <row r="525" spans="15:73" x14ac:dyDescent="0.2"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</row>
    <row r="526" spans="15:73" x14ac:dyDescent="0.2"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</row>
    <row r="527" spans="15:73" x14ac:dyDescent="0.2"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</row>
    <row r="528" spans="15:73" x14ac:dyDescent="0.2"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</row>
    <row r="529" spans="15:73" x14ac:dyDescent="0.2"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</row>
    <row r="530" spans="15:73" x14ac:dyDescent="0.2"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</row>
    <row r="531" spans="15:73" x14ac:dyDescent="0.2"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</row>
    <row r="532" spans="15:73" x14ac:dyDescent="0.2"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</row>
    <row r="533" spans="15:73" x14ac:dyDescent="0.2"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</row>
    <row r="534" spans="15:73" x14ac:dyDescent="0.2"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</row>
    <row r="535" spans="15:73" x14ac:dyDescent="0.2"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</row>
    <row r="536" spans="15:73" x14ac:dyDescent="0.2"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</row>
    <row r="537" spans="15:73" x14ac:dyDescent="0.2"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</row>
    <row r="538" spans="15:73" x14ac:dyDescent="0.2"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</row>
    <row r="539" spans="15:73" x14ac:dyDescent="0.2"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</row>
    <row r="540" spans="15:73" x14ac:dyDescent="0.2"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</row>
    <row r="541" spans="15:73" x14ac:dyDescent="0.2"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</row>
    <row r="542" spans="15:73" x14ac:dyDescent="0.2"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</row>
    <row r="543" spans="15:73" x14ac:dyDescent="0.2"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</row>
    <row r="544" spans="15:73" x14ac:dyDescent="0.2"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</row>
    <row r="545" spans="15:73" x14ac:dyDescent="0.2"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</row>
  </sheetData>
  <dataConsolidate link="1"/>
  <phoneticPr fontId="10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43"/>
  <sheetViews>
    <sheetView showGridLines="0" zoomScale="80" zoomScaleNormal="80" workbookViewId="0"/>
  </sheetViews>
  <sheetFormatPr defaultRowHeight="12.75" x14ac:dyDescent="0.2"/>
  <cols>
    <col min="1" max="1" width="14.7109375" style="27" customWidth="1"/>
    <col min="2" max="2" width="11.7109375" style="27" customWidth="1"/>
    <col min="3" max="3" width="11.7109375" style="27" bestFit="1" customWidth="1"/>
    <col min="4" max="4" width="8.7109375" style="27" bestFit="1" customWidth="1"/>
    <col min="5" max="5" width="11.5703125" style="27" bestFit="1" customWidth="1"/>
    <col min="6" max="6" width="1.7109375" style="27" customWidth="1"/>
    <col min="7" max="9" width="11.5703125" style="27" bestFit="1" customWidth="1"/>
    <col min="10" max="10" width="10.7109375" style="27" customWidth="1"/>
    <col min="11" max="16384" width="9.140625" style="27"/>
  </cols>
  <sheetData>
    <row r="1" spans="1:10" ht="14.25" x14ac:dyDescent="0.2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 x14ac:dyDescent="0.2">
      <c r="A2" s="28"/>
      <c r="B2" s="166" t="s">
        <v>0</v>
      </c>
      <c r="C2" s="166"/>
      <c r="D2" s="166"/>
      <c r="E2" s="166"/>
      <c r="F2" s="32"/>
      <c r="G2" s="166" t="s">
        <v>17</v>
      </c>
      <c r="H2" s="166"/>
      <c r="I2" s="166"/>
      <c r="J2" s="28"/>
    </row>
    <row r="3" spans="1:10" ht="14.25" x14ac:dyDescent="0.2">
      <c r="A3" s="28" t="s">
        <v>64</v>
      </c>
      <c r="B3" s="30" t="s">
        <v>8</v>
      </c>
      <c r="C3" s="34"/>
      <c r="D3" s="34"/>
      <c r="E3" s="34"/>
      <c r="F3" s="34"/>
      <c r="G3" s="34"/>
      <c r="H3" s="34"/>
      <c r="I3" s="34"/>
      <c r="J3" s="30" t="s">
        <v>26</v>
      </c>
    </row>
    <row r="4" spans="1:10" ht="14.25" x14ac:dyDescent="0.2">
      <c r="A4" s="35" t="s">
        <v>65</v>
      </c>
      <c r="B4" s="37" t="s">
        <v>25</v>
      </c>
      <c r="C4" s="37" t="s">
        <v>1</v>
      </c>
      <c r="D4" s="37" t="s">
        <v>2</v>
      </c>
      <c r="E4" s="39" t="s">
        <v>24</v>
      </c>
      <c r="F4" s="38"/>
      <c r="G4" s="37" t="s">
        <v>27</v>
      </c>
      <c r="H4" s="37" t="s">
        <v>23</v>
      </c>
      <c r="I4" s="37" t="s">
        <v>24</v>
      </c>
      <c r="J4" s="37" t="s">
        <v>74</v>
      </c>
    </row>
    <row r="5" spans="1:10" ht="14.25" x14ac:dyDescent="0.2">
      <c r="A5" s="28"/>
      <c r="B5" s="167" t="s">
        <v>80</v>
      </c>
      <c r="C5" s="167"/>
      <c r="D5" s="167"/>
      <c r="E5" s="167"/>
      <c r="F5" s="167"/>
      <c r="G5" s="167"/>
      <c r="H5" s="167"/>
      <c r="I5" s="167"/>
      <c r="J5" s="167"/>
    </row>
    <row r="6" spans="1:10" ht="14.25" x14ac:dyDescent="0.2">
      <c r="A6" s="28" t="s">
        <v>117</v>
      </c>
      <c r="B6" s="73">
        <f>B11</f>
        <v>402.01499999999999</v>
      </c>
      <c r="C6" s="74">
        <f>C23</f>
        <v>51100.43</v>
      </c>
      <c r="D6" s="74">
        <f>D23</f>
        <v>639.45289700599983</v>
      </c>
      <c r="E6" s="46">
        <f>E23</f>
        <v>52141.897897005998</v>
      </c>
      <c r="F6" s="74"/>
      <c r="G6" s="74">
        <f>G23</f>
        <v>37966.877728954991</v>
      </c>
      <c r="H6" s="74">
        <f>H23</f>
        <v>13833.684168051001</v>
      </c>
      <c r="I6" s="74">
        <f>I23</f>
        <v>51800.561897005995</v>
      </c>
      <c r="J6" s="74">
        <f>E6-I6</f>
        <v>341.33600000000297</v>
      </c>
    </row>
    <row r="7" spans="1:10" ht="16.5" x14ac:dyDescent="0.2">
      <c r="A7" s="28" t="s">
        <v>120</v>
      </c>
      <c r="B7" s="73">
        <f>J6</f>
        <v>341.33600000000297</v>
      </c>
      <c r="C7" s="74">
        <v>50658.663999999997</v>
      </c>
      <c r="D7" s="74">
        <v>825</v>
      </c>
      <c r="E7" s="46">
        <f>SUM(B7:D7)</f>
        <v>51825</v>
      </c>
      <c r="F7" s="74"/>
      <c r="G7" s="74">
        <f>I7-H7</f>
        <v>37275</v>
      </c>
      <c r="H7" s="74">
        <v>14100</v>
      </c>
      <c r="I7" s="74">
        <f>E7-J7</f>
        <v>51375</v>
      </c>
      <c r="J7" s="74">
        <v>450</v>
      </c>
    </row>
    <row r="8" spans="1:10" ht="16.5" x14ac:dyDescent="0.2">
      <c r="A8" s="28" t="s">
        <v>151</v>
      </c>
      <c r="B8" s="73">
        <f>J7</f>
        <v>450</v>
      </c>
      <c r="C8" s="74">
        <v>51400</v>
      </c>
      <c r="D8" s="74">
        <v>450</v>
      </c>
      <c r="E8" s="46">
        <f>SUM(B8:D8)</f>
        <v>52300</v>
      </c>
      <c r="F8" s="74"/>
      <c r="G8" s="74">
        <f>I8-H8</f>
        <v>37600</v>
      </c>
      <c r="H8" s="74">
        <v>14200</v>
      </c>
      <c r="I8" s="74">
        <f>E8-J8</f>
        <v>51800</v>
      </c>
      <c r="J8" s="74">
        <v>500</v>
      </c>
    </row>
    <row r="9" spans="1:10" ht="14.25" x14ac:dyDescent="0.2">
      <c r="A9" s="28"/>
      <c r="B9" s="75"/>
      <c r="C9" s="75"/>
      <c r="D9" s="75"/>
      <c r="E9" s="75"/>
      <c r="F9" s="75"/>
      <c r="G9" s="74"/>
      <c r="H9" s="75"/>
      <c r="I9" s="75"/>
      <c r="J9" s="75"/>
    </row>
    <row r="10" spans="1:10" ht="15" x14ac:dyDescent="0.25">
      <c r="A10" s="76" t="s">
        <v>117</v>
      </c>
      <c r="B10" s="77"/>
      <c r="C10" s="12"/>
      <c r="D10" s="12"/>
      <c r="E10" s="12"/>
      <c r="F10" s="12"/>
      <c r="G10" s="12"/>
      <c r="H10" s="12"/>
      <c r="I10" s="12"/>
      <c r="J10" s="12"/>
    </row>
    <row r="11" spans="1:10" ht="14.25" x14ac:dyDescent="0.2">
      <c r="A11" s="32" t="s">
        <v>45</v>
      </c>
      <c r="B11" s="77">
        <f>360.387+41.628</f>
        <v>402.01499999999999</v>
      </c>
      <c r="C11" s="12">
        <v>4381.8320000000003</v>
      </c>
      <c r="D11" s="12">
        <f>(43274*1.10231)/1000</f>
        <v>47.701362939999996</v>
      </c>
      <c r="E11" s="12">
        <f>SUM(B11:D11)</f>
        <v>4831.5483629400005</v>
      </c>
      <c r="F11" s="10"/>
      <c r="G11" s="9">
        <f t="shared" ref="G11:G22" si="0">I11-H11</f>
        <v>3335.8568790440004</v>
      </c>
      <c r="H11" s="12">
        <f>(1025421.6*1.10231)/1000</f>
        <v>1130.3324838959998</v>
      </c>
      <c r="I11" s="10">
        <f t="shared" ref="I11:I22" si="1">E11-J11</f>
        <v>4466.1893629400001</v>
      </c>
      <c r="J11" s="10">
        <v>365.35899999999998</v>
      </c>
    </row>
    <row r="12" spans="1:10" ht="14.25" x14ac:dyDescent="0.2">
      <c r="A12" s="32" t="s">
        <v>46</v>
      </c>
      <c r="B12" s="77">
        <f t="shared" ref="B12:B22" si="2">J11</f>
        <v>365.35899999999998</v>
      </c>
      <c r="C12" s="12">
        <v>4111.7719999999999</v>
      </c>
      <c r="D12" s="12">
        <f>(33004.7*1.10231)/1000</f>
        <v>36.381410856999999</v>
      </c>
      <c r="E12" s="12">
        <f t="shared" ref="E12:E18" si="3">SUM(B12:D12)</f>
        <v>4513.5124108570008</v>
      </c>
      <c r="F12" s="12"/>
      <c r="G12" s="9">
        <f t="shared" si="0"/>
        <v>2808.0372888130009</v>
      </c>
      <c r="H12" s="12">
        <f>(1123152.4*1.10231)/1000</f>
        <v>1238.0621220439998</v>
      </c>
      <c r="I12" s="10">
        <f t="shared" si="1"/>
        <v>4046.0994108570007</v>
      </c>
      <c r="J12" s="10">
        <v>467.41300000000001</v>
      </c>
    </row>
    <row r="13" spans="1:10" ht="14.25" x14ac:dyDescent="0.2">
      <c r="A13" s="32" t="s">
        <v>47</v>
      </c>
      <c r="B13" s="77">
        <f t="shared" si="2"/>
        <v>467.41300000000001</v>
      </c>
      <c r="C13" s="12">
        <v>4337.5720000000001</v>
      </c>
      <c r="D13" s="12">
        <f>(47624.6*1.10231)/1000</f>
        <v>52.497072825999993</v>
      </c>
      <c r="E13" s="12">
        <f t="shared" si="3"/>
        <v>4857.4820728260001</v>
      </c>
      <c r="F13" s="12"/>
      <c r="G13" s="9">
        <f t="shared" si="0"/>
        <v>3394.591402043</v>
      </c>
      <c r="H13" s="12">
        <f>(985039.3*1.10231)/1000</f>
        <v>1085.818670783</v>
      </c>
      <c r="I13" s="10">
        <f t="shared" si="1"/>
        <v>4480.410072826</v>
      </c>
      <c r="J13" s="10">
        <v>377.072</v>
      </c>
    </row>
    <row r="14" spans="1:10" ht="14.25" x14ac:dyDescent="0.2">
      <c r="A14" s="32" t="s">
        <v>48</v>
      </c>
      <c r="B14" s="77">
        <f t="shared" si="2"/>
        <v>377.072</v>
      </c>
      <c r="C14" s="12">
        <v>4425.7489999999998</v>
      </c>
      <c r="D14" s="12">
        <f>(55344*1.10231)/1000</f>
        <v>61.006244639999998</v>
      </c>
      <c r="E14" s="12">
        <f t="shared" si="3"/>
        <v>4863.8272446399997</v>
      </c>
      <c r="F14" s="12"/>
      <c r="G14" s="9">
        <f t="shared" si="0"/>
        <v>3443.2361162819998</v>
      </c>
      <c r="H14" s="12">
        <f>(975821.8*1.10231)/1000</f>
        <v>1075.6581283579999</v>
      </c>
      <c r="I14" s="10">
        <f t="shared" si="1"/>
        <v>4518.8942446399997</v>
      </c>
      <c r="J14" s="10">
        <v>344.93299999999999</v>
      </c>
    </row>
    <row r="15" spans="1:10" ht="14.25" x14ac:dyDescent="0.2">
      <c r="A15" s="32" t="s">
        <v>49</v>
      </c>
      <c r="B15" s="77">
        <f t="shared" si="2"/>
        <v>344.93299999999999</v>
      </c>
      <c r="C15" s="12">
        <v>4122.6279999999997</v>
      </c>
      <c r="D15" s="12">
        <f>(45646.7*1.10231)/1000</f>
        <v>50.316813876999994</v>
      </c>
      <c r="E15" s="12">
        <f t="shared" si="3"/>
        <v>4517.8778138769994</v>
      </c>
      <c r="F15" s="12"/>
      <c r="G15" s="9">
        <f t="shared" si="0"/>
        <v>2732.7443837479996</v>
      </c>
      <c r="H15" s="12">
        <f>(1218155.9*1.10231)/1000</f>
        <v>1342.7854301289997</v>
      </c>
      <c r="I15" s="10">
        <f t="shared" si="1"/>
        <v>4075.5298138769995</v>
      </c>
      <c r="J15" s="10">
        <v>442.34800000000001</v>
      </c>
    </row>
    <row r="16" spans="1:10" ht="14.25" x14ac:dyDescent="0.2">
      <c r="A16" s="32" t="s">
        <v>50</v>
      </c>
      <c r="B16" s="77">
        <f t="shared" si="2"/>
        <v>442.34800000000001</v>
      </c>
      <c r="C16" s="12">
        <v>4517.9129999999996</v>
      </c>
      <c r="D16" s="12">
        <f>(57701.5*1.10231)/1000</f>
        <v>63.604940464999991</v>
      </c>
      <c r="E16" s="12">
        <f t="shared" si="3"/>
        <v>5023.8659404649998</v>
      </c>
      <c r="F16" s="12"/>
      <c r="G16" s="9">
        <f t="shared" si="0"/>
        <v>3241.9729331999997</v>
      </c>
      <c r="H16" s="12">
        <f>(1239981.5*1.10231)/1000</f>
        <v>1366.8440072649998</v>
      </c>
      <c r="I16" s="10">
        <f t="shared" si="1"/>
        <v>4608.8169404649998</v>
      </c>
      <c r="J16" s="10">
        <v>415.04899999999998</v>
      </c>
    </row>
    <row r="17" spans="1:10" ht="14.25" x14ac:dyDescent="0.2">
      <c r="A17" s="32" t="s">
        <v>51</v>
      </c>
      <c r="B17" s="77">
        <f t="shared" si="2"/>
        <v>415.04899999999998</v>
      </c>
      <c r="C17" s="12">
        <v>4312.1769999999997</v>
      </c>
      <c r="D17" s="12">
        <f>(48315.4*1.10231)/1000</f>
        <v>53.258548574000002</v>
      </c>
      <c r="E17" s="12">
        <f t="shared" si="3"/>
        <v>4780.4845485739997</v>
      </c>
      <c r="F17" s="12"/>
      <c r="G17" s="9">
        <f t="shared" si="0"/>
        <v>3183.0079535909999</v>
      </c>
      <c r="H17" s="12">
        <f>(1098859.3*1.10231)/1000</f>
        <v>1211.2835949829998</v>
      </c>
      <c r="I17" s="10">
        <f t="shared" si="1"/>
        <v>4394.2915485739995</v>
      </c>
      <c r="J17" s="10">
        <v>386.19299999999998</v>
      </c>
    </row>
    <row r="18" spans="1:10" ht="14.25" x14ac:dyDescent="0.2">
      <c r="A18" s="32" t="s">
        <v>52</v>
      </c>
      <c r="B18" s="77">
        <f t="shared" si="2"/>
        <v>386.19299999999998</v>
      </c>
      <c r="C18" s="12">
        <v>4240.9799999999996</v>
      </c>
      <c r="D18" s="12">
        <f>(41067.2*1.10231)/1000</f>
        <v>45.268785231999992</v>
      </c>
      <c r="E18" s="12">
        <f t="shared" si="3"/>
        <v>4672.4417852319993</v>
      </c>
      <c r="F18" s="12"/>
      <c r="G18" s="9">
        <f t="shared" si="0"/>
        <v>3091.2519027089993</v>
      </c>
      <c r="H18" s="12">
        <f>(982793.3*1.10231)/1000</f>
        <v>1083.3428825230001</v>
      </c>
      <c r="I18" s="10">
        <f t="shared" si="1"/>
        <v>4174.5947852319996</v>
      </c>
      <c r="J18" s="10">
        <v>497.84699999999998</v>
      </c>
    </row>
    <row r="19" spans="1:10" ht="14.25" x14ac:dyDescent="0.2">
      <c r="A19" s="32" t="s">
        <v>53</v>
      </c>
      <c r="B19" s="77">
        <f t="shared" si="2"/>
        <v>497.84699999999998</v>
      </c>
      <c r="C19" s="12">
        <v>4167.4759999999997</v>
      </c>
      <c r="D19" s="12">
        <f>(36340.5*1.10231)/1000</f>
        <v>40.058496554999998</v>
      </c>
      <c r="E19" s="12">
        <f>SUM(B19:D19)</f>
        <v>4705.3814965549991</v>
      </c>
      <c r="F19" s="12"/>
      <c r="G19" s="9">
        <f t="shared" si="0"/>
        <v>3149.2991634139994</v>
      </c>
      <c r="H19" s="12">
        <f>(992261.1*1.10231)/1000</f>
        <v>1093.7793331409998</v>
      </c>
      <c r="I19" s="10">
        <f t="shared" si="1"/>
        <v>4243.0784965549992</v>
      </c>
      <c r="J19" s="10">
        <v>462.303</v>
      </c>
    </row>
    <row r="20" spans="1:10" ht="14.25" x14ac:dyDescent="0.2">
      <c r="A20" s="32" t="s">
        <v>55</v>
      </c>
      <c r="B20" s="77">
        <f t="shared" si="2"/>
        <v>462.303</v>
      </c>
      <c r="C20" s="12">
        <v>4361.17</v>
      </c>
      <c r="D20" s="12">
        <f>(52357*1.10231)/1000</f>
        <v>57.713644669999994</v>
      </c>
      <c r="E20" s="12">
        <f>SUM(B20:D20)</f>
        <v>4881.1866446699996</v>
      </c>
      <c r="F20" s="12"/>
      <c r="G20" s="9">
        <f t="shared" si="0"/>
        <v>3328.9380029640001</v>
      </c>
      <c r="H20" s="12">
        <f>(999472.6*1.10231)/1000</f>
        <v>1101.728641706</v>
      </c>
      <c r="I20" s="10">
        <f t="shared" si="1"/>
        <v>4430.6666446700001</v>
      </c>
      <c r="J20" s="10">
        <v>450.52</v>
      </c>
    </row>
    <row r="21" spans="1:10" ht="14.25" x14ac:dyDescent="0.2">
      <c r="A21" s="32" t="s">
        <v>56</v>
      </c>
      <c r="B21" s="77">
        <f t="shared" si="2"/>
        <v>450.52</v>
      </c>
      <c r="C21" s="12">
        <v>4111.7449999999999</v>
      </c>
      <c r="D21" s="12">
        <f>(54909.8*1.10231)/1000</f>
        <v>60.527621637999999</v>
      </c>
      <c r="E21" s="12">
        <f>SUM(B21:D21)</f>
        <v>4622.7926216379992</v>
      </c>
      <c r="F21" s="12"/>
      <c r="G21" s="9">
        <f t="shared" si="0"/>
        <v>3084.1046288009993</v>
      </c>
      <c r="H21" s="12">
        <f>(1013862.7*1.10231)/1000</f>
        <v>1117.5909928369999</v>
      </c>
      <c r="I21" s="10">
        <f t="shared" si="1"/>
        <v>4201.6956216379995</v>
      </c>
      <c r="J21" s="10">
        <v>421.09699999999998</v>
      </c>
    </row>
    <row r="22" spans="1:10" ht="14.25" x14ac:dyDescent="0.2">
      <c r="A22" s="32" t="s">
        <v>58</v>
      </c>
      <c r="B22" s="77">
        <f t="shared" si="2"/>
        <v>421.09699999999998</v>
      </c>
      <c r="C22" s="12">
        <v>4009.4160000000002</v>
      </c>
      <c r="D22" s="12">
        <f>(64517.2*1.10231)/1000</f>
        <v>71.117954731999987</v>
      </c>
      <c r="E22" s="12">
        <f>SUM(B22:D22)</f>
        <v>4501.6309547319997</v>
      </c>
      <c r="F22" s="12"/>
      <c r="G22" s="9">
        <f t="shared" si="0"/>
        <v>3173.8370743459996</v>
      </c>
      <c r="H22" s="12">
        <f>(894900.6*1.10231)/1000</f>
        <v>986.45788038599994</v>
      </c>
      <c r="I22" s="10">
        <f t="shared" si="1"/>
        <v>4160.2949547319995</v>
      </c>
      <c r="J22" s="10">
        <v>341.33600000000001</v>
      </c>
    </row>
    <row r="23" spans="1:10" ht="14.25" x14ac:dyDescent="0.2">
      <c r="A23" s="32" t="s">
        <v>3</v>
      </c>
      <c r="B23" s="77"/>
      <c r="C23" s="12">
        <f>SUM(C11:C22)</f>
        <v>51100.43</v>
      </c>
      <c r="D23" s="12">
        <f>SUM(D11:D22)</f>
        <v>639.45289700599983</v>
      </c>
      <c r="E23" s="12">
        <f>B11+C23+D23</f>
        <v>52141.897897005998</v>
      </c>
      <c r="F23" s="12"/>
      <c r="G23" s="9">
        <f>SUM(G11:G22)</f>
        <v>37966.877728954991</v>
      </c>
      <c r="H23" s="9">
        <f>SUM(H11:H22)</f>
        <v>13833.684168051001</v>
      </c>
      <c r="I23" s="10">
        <f>SUM(I11:I22)</f>
        <v>51800.561897005995</v>
      </c>
      <c r="J23" s="12"/>
    </row>
    <row r="24" spans="1:10" ht="14.25" x14ac:dyDescent="0.2">
      <c r="A24" s="32"/>
      <c r="B24" s="77"/>
      <c r="C24" s="12"/>
      <c r="D24" s="12"/>
      <c r="E24" s="12"/>
      <c r="F24" s="12"/>
      <c r="G24" s="12"/>
      <c r="H24" s="12"/>
      <c r="I24" s="12"/>
      <c r="J24" s="12"/>
    </row>
    <row r="25" spans="1:10" ht="15" x14ac:dyDescent="0.25">
      <c r="A25" s="76" t="s">
        <v>125</v>
      </c>
      <c r="B25" s="77"/>
      <c r="C25" s="12"/>
      <c r="D25" s="12"/>
      <c r="E25" s="12"/>
      <c r="F25" s="12"/>
      <c r="G25" s="12"/>
      <c r="H25" s="12"/>
      <c r="I25" s="12"/>
      <c r="J25" s="12"/>
    </row>
    <row r="26" spans="1:10" ht="14.25" x14ac:dyDescent="0.2">
      <c r="A26" s="32" t="s">
        <v>45</v>
      </c>
      <c r="B26" s="77">
        <f>J22</f>
        <v>341.33600000000001</v>
      </c>
      <c r="C26" s="12">
        <v>4615.5919999999996</v>
      </c>
      <c r="D26" s="12">
        <f>(63180.5*1.10231)/1000</f>
        <v>69.644496954999994</v>
      </c>
      <c r="E26" s="12">
        <f t="shared" ref="E26:E32" si="4">SUM(B26:D26)</f>
        <v>5026.5724969550001</v>
      </c>
      <c r="F26" s="10"/>
      <c r="G26" s="9">
        <f t="shared" ref="G26:G32" si="5">I26-H26</f>
        <v>3543.9302441150003</v>
      </c>
      <c r="H26" s="12">
        <f>(1005564*1.10231)/1000</f>
        <v>1108.44325284</v>
      </c>
      <c r="I26" s="10">
        <f t="shared" ref="I26:I32" si="6">E26-J26</f>
        <v>4652.3734969550005</v>
      </c>
      <c r="J26" s="10">
        <v>374.19900000000001</v>
      </c>
    </row>
    <row r="27" spans="1:10" ht="14.25" x14ac:dyDescent="0.2">
      <c r="A27" s="32" t="s">
        <v>46</v>
      </c>
      <c r="B27" s="77">
        <f t="shared" ref="B27:B32" si="7">J26</f>
        <v>374.19900000000001</v>
      </c>
      <c r="C27" s="12">
        <v>4516.2939999999999</v>
      </c>
      <c r="D27" s="12">
        <f>(61205.6*1.10231)/1000</f>
        <v>67.467544935999996</v>
      </c>
      <c r="E27" s="12">
        <f t="shared" si="4"/>
        <v>4957.9605449359997</v>
      </c>
      <c r="F27" s="10"/>
      <c r="G27" s="9">
        <f t="shared" si="5"/>
        <v>3223.2103220019999</v>
      </c>
      <c r="H27" s="12">
        <f>(1157871.4*1.10231)/1000</f>
        <v>1276.3332229339997</v>
      </c>
      <c r="I27" s="10">
        <f t="shared" si="6"/>
        <v>4499.5435449359993</v>
      </c>
      <c r="J27" s="10">
        <v>458.41699999999997</v>
      </c>
    </row>
    <row r="28" spans="1:10" ht="14.25" x14ac:dyDescent="0.2">
      <c r="A28" s="32" t="s">
        <v>47</v>
      </c>
      <c r="B28" s="77">
        <f t="shared" si="7"/>
        <v>458.41699999999997</v>
      </c>
      <c r="C28" s="12">
        <v>4540.9309999999996</v>
      </c>
      <c r="D28" s="12">
        <f>(58666.4*1.10231)/1000</f>
        <v>64.668559383999991</v>
      </c>
      <c r="E28" s="12">
        <f t="shared" si="4"/>
        <v>5064.0165593840002</v>
      </c>
      <c r="F28" s="10"/>
      <c r="G28" s="9">
        <f t="shared" si="5"/>
        <v>3257.6761174220001</v>
      </c>
      <c r="H28" s="12">
        <f>(1312650.2*1.10231)/1000</f>
        <v>1446.9474419619999</v>
      </c>
      <c r="I28" s="10">
        <f t="shared" si="6"/>
        <v>4704.6235593840001</v>
      </c>
      <c r="J28" s="10">
        <v>359.39299999999997</v>
      </c>
    </row>
    <row r="29" spans="1:10" ht="14.25" x14ac:dyDescent="0.2">
      <c r="A29" s="32" t="s">
        <v>48</v>
      </c>
      <c r="B29" s="77">
        <f t="shared" si="7"/>
        <v>359.39299999999997</v>
      </c>
      <c r="C29" s="12">
        <v>4665.652</v>
      </c>
      <c r="D29" s="12">
        <f>(62004.8*1.10231)/1000</f>
        <v>68.348511087999995</v>
      </c>
      <c r="E29" s="12">
        <f t="shared" si="4"/>
        <v>5093.3935110880002</v>
      </c>
      <c r="F29" s="10"/>
      <c r="G29" s="9">
        <f t="shared" si="5"/>
        <v>3080.2815676670002</v>
      </c>
      <c r="H29" s="12">
        <f>(1322049.1*1.10231)/1000</f>
        <v>1457.3079434209999</v>
      </c>
      <c r="I29" s="10">
        <f t="shared" si="6"/>
        <v>4537.5895110880001</v>
      </c>
      <c r="J29" s="10">
        <v>555.80399999999997</v>
      </c>
    </row>
    <row r="30" spans="1:10" ht="14.25" x14ac:dyDescent="0.2">
      <c r="A30" s="32" t="s">
        <v>49</v>
      </c>
      <c r="B30" s="77">
        <f t="shared" si="7"/>
        <v>555.80399999999997</v>
      </c>
      <c r="C30" s="12">
        <v>3918.6709999999998</v>
      </c>
      <c r="D30" s="12">
        <f>(60831.4*1.10231)/1000</f>
        <v>67.055060533999992</v>
      </c>
      <c r="E30" s="12">
        <f t="shared" si="4"/>
        <v>4541.5300605339999</v>
      </c>
      <c r="F30" s="10"/>
      <c r="G30" s="9">
        <f t="shared" si="5"/>
        <v>2640.8198255869997</v>
      </c>
      <c r="H30" s="12">
        <f>(1194443.7*1.10231)/1000</f>
        <v>1316.647234947</v>
      </c>
      <c r="I30" s="10">
        <f t="shared" si="6"/>
        <v>3957.4670605339998</v>
      </c>
      <c r="J30" s="10">
        <v>584.06299999999999</v>
      </c>
    </row>
    <row r="31" spans="1:10" ht="14.25" x14ac:dyDescent="0.2">
      <c r="A31" s="32" t="s">
        <v>50</v>
      </c>
      <c r="B31" s="77">
        <f t="shared" si="7"/>
        <v>584.06299999999999</v>
      </c>
      <c r="C31" s="12">
        <v>4476.5870000000004</v>
      </c>
      <c r="D31" s="12">
        <f>(66448.6*1.10231)/1000</f>
        <v>73.246956265999998</v>
      </c>
      <c r="E31" s="12">
        <f t="shared" si="4"/>
        <v>5133.8969562660004</v>
      </c>
      <c r="F31" s="10"/>
      <c r="G31" s="9">
        <f t="shared" si="5"/>
        <v>3387.3791584980008</v>
      </c>
      <c r="H31" s="12">
        <f>(1178232.8*1.10231)/1000</f>
        <v>1298.777797768</v>
      </c>
      <c r="I31" s="10">
        <f t="shared" si="6"/>
        <v>4686.1569562660006</v>
      </c>
      <c r="J31" s="10">
        <v>447.74</v>
      </c>
    </row>
    <row r="32" spans="1:10" ht="14.25" x14ac:dyDescent="0.2">
      <c r="A32" s="32" t="s">
        <v>51</v>
      </c>
      <c r="B32" s="77">
        <f t="shared" si="7"/>
        <v>447.74</v>
      </c>
      <c r="C32" s="12">
        <v>4044.7089999999998</v>
      </c>
      <c r="D32" s="12">
        <f>(61739.5*1.10231)/1000</f>
        <v>68.056068244999992</v>
      </c>
      <c r="E32" s="12">
        <f t="shared" si="4"/>
        <v>4560.5050682449992</v>
      </c>
      <c r="F32" s="10"/>
      <c r="G32" s="9">
        <f t="shared" si="5"/>
        <v>3050.7248173269991</v>
      </c>
      <c r="H32" s="12">
        <f>(959597.8*1.10231)/1000</f>
        <v>1057.774250918</v>
      </c>
      <c r="I32" s="10">
        <f t="shared" si="6"/>
        <v>4108.4990682449989</v>
      </c>
      <c r="J32" s="10">
        <v>452.00599999999997</v>
      </c>
    </row>
    <row r="33" spans="1:10" ht="14.25" x14ac:dyDescent="0.2">
      <c r="A33" s="32" t="s">
        <v>52</v>
      </c>
      <c r="B33" s="77">
        <f t="shared" ref="B33" si="8">J32</f>
        <v>452.00599999999997</v>
      </c>
      <c r="C33" s="12">
        <v>4122.884</v>
      </c>
      <c r="D33" s="12">
        <f>(59425.5*1.10231)/1000</f>
        <v>65.505322905</v>
      </c>
      <c r="E33" s="12">
        <f>SUM(B33:D33)</f>
        <v>4640.3953229050003</v>
      </c>
      <c r="F33" s="10"/>
      <c r="G33" s="9">
        <f t="shared" ref="G33:G35" si="9">I33-H33</f>
        <v>2948.6927628190006</v>
      </c>
      <c r="H33" s="12">
        <f>(952770.6*1.10231)/1000</f>
        <v>1050.2485600859998</v>
      </c>
      <c r="I33" s="10">
        <f>E33-J33</f>
        <v>3998.9413229050006</v>
      </c>
      <c r="J33" s="10">
        <v>641.45399999999995</v>
      </c>
    </row>
    <row r="34" spans="1:10" ht="14.25" x14ac:dyDescent="0.2">
      <c r="A34" s="32" t="s">
        <v>53</v>
      </c>
      <c r="B34" s="77">
        <f>J33</f>
        <v>641.45399999999995</v>
      </c>
      <c r="C34" s="12">
        <v>3833.951</v>
      </c>
      <c r="D34" s="12">
        <f>(57647.2*1.10231)/1000</f>
        <v>63.545085031999989</v>
      </c>
      <c r="E34" s="12">
        <f>SUM(B34:D34)</f>
        <v>4538.9500850320001</v>
      </c>
      <c r="F34" s="10"/>
      <c r="G34" s="9">
        <f t="shared" si="9"/>
        <v>3182.6439690309999</v>
      </c>
      <c r="H34" s="12">
        <f>(832167.1*1.10231)/1000</f>
        <v>917.30611600099996</v>
      </c>
      <c r="I34" s="10">
        <f>E34-J34</f>
        <v>4099.9500850320001</v>
      </c>
      <c r="J34" s="10">
        <v>439</v>
      </c>
    </row>
    <row r="35" spans="1:10" ht="14.25" x14ac:dyDescent="0.2">
      <c r="A35" s="32" t="s">
        <v>55</v>
      </c>
      <c r="B35" s="77">
        <f>J34</f>
        <v>439</v>
      </c>
      <c r="C35" s="12">
        <v>3966.9639999999999</v>
      </c>
      <c r="D35" s="12">
        <f>(80443.6*1.10231)/1000</f>
        <v>88.673784716</v>
      </c>
      <c r="E35" s="12">
        <f>SUM(B35:D35)</f>
        <v>4494.6377847160002</v>
      </c>
      <c r="F35" s="10"/>
      <c r="G35" s="9">
        <f t="shared" si="9"/>
        <v>2936.8318779750002</v>
      </c>
      <c r="H35" s="12">
        <f>(980821.1*1.10231)/1000</f>
        <v>1081.1689067409998</v>
      </c>
      <c r="I35" s="10">
        <f>E35-J35</f>
        <v>4018.000784716</v>
      </c>
      <c r="J35" s="10">
        <v>476.637</v>
      </c>
    </row>
    <row r="36" spans="1:10" ht="14.25" x14ac:dyDescent="0.2">
      <c r="A36" s="26" t="s">
        <v>126</v>
      </c>
      <c r="B36" s="78"/>
      <c r="C36" s="63">
        <f>SUM(C26:C35)</f>
        <v>42702.234999999993</v>
      </c>
      <c r="D36" s="63">
        <f>SUM(D26:D35)</f>
        <v>696.21139006099997</v>
      </c>
      <c r="E36" s="63">
        <f>B26+C36+D36</f>
        <v>43739.782390060995</v>
      </c>
      <c r="F36" s="63"/>
      <c r="G36" s="63">
        <f>SUM(G26:G35)</f>
        <v>31252.190662443001</v>
      </c>
      <c r="H36" s="63">
        <f>SUM(H26:H35)</f>
        <v>12010.954727618002</v>
      </c>
      <c r="I36" s="63">
        <f>SUM(I26:I35)</f>
        <v>43263.145390061007</v>
      </c>
      <c r="J36" s="63"/>
    </row>
    <row r="37" spans="1:10" ht="16.5" x14ac:dyDescent="0.2">
      <c r="A37" s="79" t="s">
        <v>119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4.25" x14ac:dyDescent="0.2">
      <c r="A38" s="28" t="s">
        <v>94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 x14ac:dyDescent="0.2">
      <c r="A39" s="34" t="s">
        <v>18</v>
      </c>
      <c r="B39" s="68">
        <f ca="1">NOW()</f>
        <v>44452.456168402779</v>
      </c>
      <c r="C39" s="55"/>
      <c r="D39" s="47"/>
      <c r="E39" s="47"/>
      <c r="F39" s="47"/>
      <c r="G39" s="47"/>
      <c r="H39" s="47"/>
      <c r="I39" s="47"/>
      <c r="J39" s="47"/>
    </row>
    <row r="40" spans="1:10" x14ac:dyDescent="0.2">
      <c r="A40" s="80"/>
      <c r="B40" s="81"/>
      <c r="C40" s="82"/>
      <c r="D40" s="81"/>
      <c r="E40" s="81"/>
      <c r="F40" s="81"/>
      <c r="G40" s="81"/>
      <c r="H40" s="83"/>
      <c r="I40" s="81"/>
      <c r="J40" s="81"/>
    </row>
    <row r="41" spans="1:10" x14ac:dyDescent="0.2">
      <c r="A41" s="80"/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</row>
  </sheetData>
  <mergeCells count="3">
    <mergeCell ref="G2:I2"/>
    <mergeCell ref="B5:J5"/>
    <mergeCell ref="B2:E2"/>
  </mergeCells>
  <phoneticPr fontId="10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9"/>
  <sheetViews>
    <sheetView showGridLines="0" zoomScale="80" zoomScaleNormal="80" workbookViewId="0"/>
  </sheetViews>
  <sheetFormatPr defaultRowHeight="12.75" x14ac:dyDescent="0.2"/>
  <cols>
    <col min="1" max="1" width="14.5703125" style="27" customWidth="1"/>
    <col min="2" max="2" width="11.7109375" style="27" customWidth="1"/>
    <col min="3" max="3" width="11.7109375" style="27" bestFit="1" customWidth="1"/>
    <col min="4" max="4" width="11" style="27" bestFit="1" customWidth="1"/>
    <col min="5" max="5" width="11.28515625" style="27" bestFit="1" customWidth="1"/>
    <col min="6" max="6" width="3.7109375" style="27" customWidth="1"/>
    <col min="7" max="7" width="11.5703125" style="27" bestFit="1" customWidth="1"/>
    <col min="8" max="8" width="10.7109375" style="27" customWidth="1"/>
    <col min="9" max="9" width="12.7109375" style="27" customWidth="1"/>
    <col min="10" max="10" width="10.28515625" style="27" bestFit="1" customWidth="1"/>
    <col min="11" max="11" width="11.5703125" style="27" bestFit="1" customWidth="1"/>
    <col min="12" max="12" width="10.28515625" style="27" bestFit="1" customWidth="1"/>
    <col min="13" max="16384" width="9.140625" style="27"/>
  </cols>
  <sheetData>
    <row r="1" spans="1:13" ht="14.25" x14ac:dyDescent="0.2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4.25" x14ac:dyDescent="0.2">
      <c r="A2" s="28"/>
      <c r="B2" s="166" t="s">
        <v>0</v>
      </c>
      <c r="C2" s="166"/>
      <c r="D2" s="166"/>
      <c r="E2" s="166"/>
      <c r="F2" s="32"/>
      <c r="G2" s="166" t="s">
        <v>17</v>
      </c>
      <c r="H2" s="166"/>
      <c r="I2" s="166"/>
      <c r="J2" s="71"/>
      <c r="K2" s="71"/>
      <c r="L2" s="28"/>
    </row>
    <row r="3" spans="1:13" ht="14.25" x14ac:dyDescent="0.2">
      <c r="A3" s="28" t="s">
        <v>64</v>
      </c>
      <c r="B3" s="30" t="s">
        <v>28</v>
      </c>
      <c r="C3" s="49" t="s">
        <v>1</v>
      </c>
      <c r="D3" s="49" t="s">
        <v>29</v>
      </c>
      <c r="E3" s="49" t="s">
        <v>24</v>
      </c>
      <c r="F3" s="49"/>
      <c r="G3" s="71" t="s">
        <v>27</v>
      </c>
      <c r="H3" s="71"/>
      <c r="I3" s="71"/>
      <c r="J3" s="49" t="s">
        <v>31</v>
      </c>
      <c r="K3" s="49" t="s">
        <v>24</v>
      </c>
      <c r="L3" s="49" t="s">
        <v>26</v>
      </c>
    </row>
    <row r="4" spans="1:13" ht="16.5" x14ac:dyDescent="0.2">
      <c r="A4" s="35" t="s">
        <v>65</v>
      </c>
      <c r="B4" s="37" t="s">
        <v>25</v>
      </c>
      <c r="C4" s="38"/>
      <c r="D4" s="38"/>
      <c r="E4" s="38"/>
      <c r="F4" s="38"/>
      <c r="G4" s="37" t="s">
        <v>3</v>
      </c>
      <c r="H4" s="37" t="s">
        <v>156</v>
      </c>
      <c r="I4" s="37" t="s">
        <v>164</v>
      </c>
      <c r="J4" s="38"/>
      <c r="K4" s="38"/>
      <c r="L4" s="49" t="s">
        <v>74</v>
      </c>
    </row>
    <row r="5" spans="1:13" ht="14.25" x14ac:dyDescent="0.2">
      <c r="A5" s="28"/>
      <c r="B5" s="168" t="s">
        <v>82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3" ht="14.25" x14ac:dyDescent="0.2">
      <c r="A6" s="28" t="s">
        <v>117</v>
      </c>
      <c r="B6" s="75">
        <f>B11</f>
        <v>1775.316</v>
      </c>
      <c r="C6" s="75">
        <f>C23</f>
        <v>24911.120999999996</v>
      </c>
      <c r="D6" s="75">
        <f>D23</f>
        <v>320.33400168419996</v>
      </c>
      <c r="E6" s="75">
        <f>E23</f>
        <v>27006.771001684196</v>
      </c>
      <c r="F6" s="75"/>
      <c r="G6" s="75">
        <f>G23</f>
        <v>22317.405787813401</v>
      </c>
      <c r="H6" s="46">
        <f>H23</f>
        <v>8657.8000000000011</v>
      </c>
      <c r="I6" s="46">
        <f>I23</f>
        <v>13659.605787813402</v>
      </c>
      <c r="J6" s="75">
        <f>J23</f>
        <v>2836.6902138707997</v>
      </c>
      <c r="K6" s="75">
        <f>K23</f>
        <v>25154.0960016842</v>
      </c>
      <c r="L6" s="75">
        <f>L22</f>
        <v>1852.675</v>
      </c>
      <c r="M6" s="149"/>
    </row>
    <row r="7" spans="1:13" ht="16.5" x14ac:dyDescent="0.2">
      <c r="A7" s="28" t="s">
        <v>120</v>
      </c>
      <c r="B7" s="75">
        <f>L6</f>
        <v>1852.675</v>
      </c>
      <c r="C7" s="75">
        <v>24980</v>
      </c>
      <c r="D7" s="75">
        <v>265</v>
      </c>
      <c r="E7" s="75">
        <f>SUM(B7:D7)</f>
        <v>27097.674999999999</v>
      </c>
      <c r="F7" s="75"/>
      <c r="G7" s="75">
        <f>K7-J7</f>
        <v>23525</v>
      </c>
      <c r="H7" s="46">
        <v>8800</v>
      </c>
      <c r="I7" s="46">
        <f>G7-H7</f>
        <v>14725</v>
      </c>
      <c r="J7" s="75">
        <v>1715</v>
      </c>
      <c r="K7" s="75">
        <f>E7-L7</f>
        <v>25240</v>
      </c>
      <c r="L7" s="75">
        <v>1857.6749999999993</v>
      </c>
      <c r="M7" s="147"/>
    </row>
    <row r="8" spans="1:13" ht="16.5" x14ac:dyDescent="0.2">
      <c r="A8" s="28" t="s">
        <v>151</v>
      </c>
      <c r="B8" s="75">
        <f>L7</f>
        <v>1857.6749999999993</v>
      </c>
      <c r="C8" s="75">
        <v>25420</v>
      </c>
      <c r="D8" s="75">
        <v>450</v>
      </c>
      <c r="E8" s="75">
        <f>SUM(B8:D8)</f>
        <v>27727.674999999999</v>
      </c>
      <c r="F8" s="75"/>
      <c r="G8" s="75">
        <f>K8-J8</f>
        <v>25000</v>
      </c>
      <c r="H8" s="46">
        <v>11000</v>
      </c>
      <c r="I8" s="46">
        <f>G8-H8</f>
        <v>14000</v>
      </c>
      <c r="J8" s="75">
        <v>1250</v>
      </c>
      <c r="K8" s="75">
        <f>E8-L8</f>
        <v>26250</v>
      </c>
      <c r="L8" s="75">
        <v>1477.6749999999993</v>
      </c>
    </row>
    <row r="9" spans="1:13" ht="14.25" x14ac:dyDescent="0.2">
      <c r="A9" s="28"/>
      <c r="B9" s="75"/>
      <c r="C9" s="75"/>
      <c r="D9" s="75"/>
      <c r="E9" s="75"/>
      <c r="F9" s="75"/>
      <c r="G9" s="75"/>
      <c r="H9" s="75"/>
      <c r="I9" s="148"/>
      <c r="J9" s="75"/>
      <c r="K9" s="75"/>
      <c r="L9" s="75"/>
    </row>
    <row r="10" spans="1:13" ht="15" x14ac:dyDescent="0.25">
      <c r="A10" s="50" t="s">
        <v>117</v>
      </c>
      <c r="B10" s="84"/>
      <c r="C10" s="12"/>
      <c r="D10" s="12"/>
      <c r="E10" s="12"/>
      <c r="F10" s="10"/>
      <c r="G10" s="12"/>
      <c r="H10" s="12"/>
      <c r="I10" s="12"/>
      <c r="J10" s="12"/>
      <c r="K10" s="12"/>
      <c r="L10" s="10"/>
    </row>
    <row r="11" spans="1:13" ht="14.25" x14ac:dyDescent="0.2">
      <c r="A11" s="32" t="s">
        <v>45</v>
      </c>
      <c r="B11" s="10">
        <f>1400.569+374.747</f>
        <v>1775.316</v>
      </c>
      <c r="C11" s="12">
        <v>2150</v>
      </c>
      <c r="D11" s="12">
        <f>(13830.4*2204.622)/1000000</f>
        <v>30.490804108799999</v>
      </c>
      <c r="E11" s="12">
        <f t="shared" ref="E11:E18" si="0">SUM(B11:D11)</f>
        <v>3955.8068041088</v>
      </c>
      <c r="F11" s="10"/>
      <c r="G11" s="10">
        <f t="shared" ref="G11:G22" si="1">K11-J11</f>
        <v>1882.1233921921998</v>
      </c>
      <c r="H11" s="12">
        <v>624.20000000000005</v>
      </c>
      <c r="I11" s="12">
        <f t="shared" ref="I11:I22" si="2">G11-H11</f>
        <v>1257.9233921921998</v>
      </c>
      <c r="J11" s="12">
        <f>(114615.3*2204.622)/1000000</f>
        <v>252.68341191659999</v>
      </c>
      <c r="K11" s="12">
        <f t="shared" ref="K11:K22" si="3">E11-L11</f>
        <v>2134.8068041088</v>
      </c>
      <c r="L11" s="10">
        <v>1821</v>
      </c>
    </row>
    <row r="12" spans="1:13" ht="14.25" x14ac:dyDescent="0.2">
      <c r="A12" s="32" t="s">
        <v>46</v>
      </c>
      <c r="B12" s="10">
        <f t="shared" ref="B12:B22" si="4">L11</f>
        <v>1821</v>
      </c>
      <c r="C12" s="12">
        <v>1999.6</v>
      </c>
      <c r="D12" s="12">
        <f>(11144.5*2204.622)/1000000</f>
        <v>24.569409878999998</v>
      </c>
      <c r="E12" s="12">
        <f t="shared" si="0"/>
        <v>3845.1694098789999</v>
      </c>
      <c r="F12" s="10"/>
      <c r="G12" s="10">
        <f t="shared" si="1"/>
        <v>1707.0745634139998</v>
      </c>
      <c r="H12" s="12">
        <v>593.20000000000005</v>
      </c>
      <c r="I12" s="12">
        <f t="shared" si="2"/>
        <v>1113.8745634139998</v>
      </c>
      <c r="J12" s="12">
        <f>(116907.5*2204.622)/1000000</f>
        <v>257.73684646499999</v>
      </c>
      <c r="K12" s="12">
        <f t="shared" si="3"/>
        <v>1964.8114098789999</v>
      </c>
      <c r="L12" s="10">
        <v>1880.3579999999999</v>
      </c>
    </row>
    <row r="13" spans="1:13" ht="14.25" x14ac:dyDescent="0.2">
      <c r="A13" s="32" t="s">
        <v>47</v>
      </c>
      <c r="B13" s="10">
        <f t="shared" si="4"/>
        <v>1880.3579999999999</v>
      </c>
      <c r="C13" s="12">
        <v>2110.9</v>
      </c>
      <c r="D13" s="12">
        <f>(16050.2*2204.622)/1000000</f>
        <v>35.384624024399997</v>
      </c>
      <c r="E13" s="12">
        <f t="shared" si="0"/>
        <v>4026.6426240244</v>
      </c>
      <c r="F13" s="10"/>
      <c r="G13" s="10">
        <f t="shared" si="1"/>
        <v>1707.7186442402001</v>
      </c>
      <c r="H13" s="12">
        <v>607.70000000000005</v>
      </c>
      <c r="I13" s="12">
        <f t="shared" si="2"/>
        <v>1100.0186442402</v>
      </c>
      <c r="J13" s="12">
        <f>(83851.1*2204.622)/1000000</f>
        <v>184.85997978420002</v>
      </c>
      <c r="K13" s="12">
        <f t="shared" si="3"/>
        <v>1892.5786240244001</v>
      </c>
      <c r="L13" s="10">
        <v>2134.0639999999999</v>
      </c>
    </row>
    <row r="14" spans="1:13" ht="14.25" x14ac:dyDescent="0.2">
      <c r="A14" s="32" t="s">
        <v>48</v>
      </c>
      <c r="B14" s="10">
        <f t="shared" si="4"/>
        <v>2134.0639999999999</v>
      </c>
      <c r="C14" s="12">
        <v>2154.4</v>
      </c>
      <c r="D14" s="12">
        <f>(14802*2204.622)/1000000</f>
        <v>32.632814843999995</v>
      </c>
      <c r="E14" s="12">
        <f t="shared" si="0"/>
        <v>4321.0968148439997</v>
      </c>
      <c r="F14" s="10"/>
      <c r="G14" s="10">
        <f t="shared" si="1"/>
        <v>1839.9018871715998</v>
      </c>
      <c r="H14" s="12">
        <v>587.70000000000005</v>
      </c>
      <c r="I14" s="12">
        <f t="shared" si="2"/>
        <v>1252.2018871715998</v>
      </c>
      <c r="J14" s="12">
        <f>(56834.2*2204.622)/1000000</f>
        <v>125.29792767239998</v>
      </c>
      <c r="K14" s="12">
        <f t="shared" si="3"/>
        <v>1965.1998148439998</v>
      </c>
      <c r="L14" s="10">
        <v>2355.8969999999999</v>
      </c>
    </row>
    <row r="15" spans="1:13" ht="14.25" x14ac:dyDescent="0.2">
      <c r="A15" s="32" t="s">
        <v>49</v>
      </c>
      <c r="B15" s="10">
        <f t="shared" si="4"/>
        <v>2355.8969999999999</v>
      </c>
      <c r="C15" s="12">
        <v>1999.5</v>
      </c>
      <c r="D15" s="12">
        <f>(12724.7*2204.622)/1000000</f>
        <v>28.053153563399999</v>
      </c>
      <c r="E15" s="12">
        <f t="shared" si="0"/>
        <v>4383.4501535633999</v>
      </c>
      <c r="F15" s="10"/>
      <c r="G15" s="10">
        <f t="shared" si="1"/>
        <v>1610.9762973402003</v>
      </c>
      <c r="H15" s="12">
        <v>641.4</v>
      </c>
      <c r="I15" s="12">
        <f t="shared" si="2"/>
        <v>969.57629734020031</v>
      </c>
      <c r="J15" s="12">
        <f>(179475.6*2204.622)/1000000</f>
        <v>395.67585622319996</v>
      </c>
      <c r="K15" s="12">
        <f t="shared" si="3"/>
        <v>2006.6521535634001</v>
      </c>
      <c r="L15" s="10">
        <v>2376.7979999999998</v>
      </c>
    </row>
    <row r="16" spans="1:13" ht="14.25" x14ac:dyDescent="0.2">
      <c r="A16" s="32" t="s">
        <v>50</v>
      </c>
      <c r="B16" s="10">
        <f t="shared" si="4"/>
        <v>2376.7979999999998</v>
      </c>
      <c r="C16" s="12">
        <v>2201.1</v>
      </c>
      <c r="D16" s="12">
        <f>(10783.5*2204.622)/1000000</f>
        <v>23.773541336999997</v>
      </c>
      <c r="E16" s="12">
        <f t="shared" si="0"/>
        <v>4601.6715413369993</v>
      </c>
      <c r="F16" s="10"/>
      <c r="G16" s="10">
        <f t="shared" si="1"/>
        <v>1954.1939273881994</v>
      </c>
      <c r="H16" s="12">
        <v>722.7</v>
      </c>
      <c r="I16" s="12">
        <f t="shared" si="2"/>
        <v>1231.4939273881994</v>
      </c>
      <c r="J16" s="12">
        <f>(145550.4*2204.622)/1000000</f>
        <v>320.88361394879996</v>
      </c>
      <c r="K16" s="12">
        <f t="shared" si="3"/>
        <v>2275.0775413369993</v>
      </c>
      <c r="L16" s="10">
        <v>2326.5940000000001</v>
      </c>
    </row>
    <row r="17" spans="1:13" ht="14.25" x14ac:dyDescent="0.2">
      <c r="A17" s="32" t="s">
        <v>51</v>
      </c>
      <c r="B17" s="10">
        <f t="shared" si="4"/>
        <v>2326.5940000000001</v>
      </c>
      <c r="C17" s="12">
        <v>2099.5</v>
      </c>
      <c r="D17" s="12">
        <f>(11118.8*2204.622)/1000000</f>
        <v>24.512751093599999</v>
      </c>
      <c r="E17" s="12">
        <f t="shared" si="0"/>
        <v>4450.6067510936</v>
      </c>
      <c r="F17" s="10"/>
      <c r="G17" s="10">
        <f t="shared" si="1"/>
        <v>1619.8108063502</v>
      </c>
      <c r="H17" s="12">
        <v>738.5</v>
      </c>
      <c r="I17" s="12">
        <f t="shared" si="2"/>
        <v>881.31080635019998</v>
      </c>
      <c r="J17" s="12">
        <f>(104414.7*2204.622)/1000000</f>
        <v>230.19494474339999</v>
      </c>
      <c r="K17" s="12">
        <f t="shared" si="3"/>
        <v>1850.0057510935999</v>
      </c>
      <c r="L17" s="10">
        <v>2600.6010000000001</v>
      </c>
    </row>
    <row r="18" spans="1:13" ht="14.25" x14ac:dyDescent="0.2">
      <c r="A18" s="32" t="s">
        <v>52</v>
      </c>
      <c r="B18" s="10">
        <f t="shared" si="4"/>
        <v>2600.6010000000001</v>
      </c>
      <c r="C18" s="12">
        <v>2057.6</v>
      </c>
      <c r="D18" s="12">
        <f>(11040.1*2204.622)/1000000</f>
        <v>24.3392473422</v>
      </c>
      <c r="E18" s="12">
        <f t="shared" si="0"/>
        <v>4682.5402473422</v>
      </c>
      <c r="F18" s="10"/>
      <c r="G18" s="10">
        <f t="shared" si="1"/>
        <v>1879.3007666992</v>
      </c>
      <c r="H18" s="12">
        <v>872</v>
      </c>
      <c r="I18" s="12">
        <f t="shared" si="2"/>
        <v>1007.3007666992</v>
      </c>
      <c r="J18" s="12">
        <f>(162306.5*2204.622)/1000000</f>
        <v>357.82448064299996</v>
      </c>
      <c r="K18" s="12">
        <f t="shared" si="3"/>
        <v>2237.1252473422001</v>
      </c>
      <c r="L18" s="10">
        <v>2445.415</v>
      </c>
    </row>
    <row r="19" spans="1:13" ht="14.25" x14ac:dyDescent="0.2">
      <c r="A19" s="32" t="s">
        <v>53</v>
      </c>
      <c r="B19" s="10">
        <f t="shared" si="4"/>
        <v>2445.415</v>
      </c>
      <c r="C19" s="12">
        <v>2035.3</v>
      </c>
      <c r="D19" s="12">
        <f>(11446.3*2204.622)/1000000</f>
        <v>25.234764798599997</v>
      </c>
      <c r="E19" s="12">
        <f>SUM(B19:D19)</f>
        <v>4505.9497647986</v>
      </c>
      <c r="F19" s="10"/>
      <c r="G19" s="10">
        <f t="shared" si="1"/>
        <v>2067.4719706057999</v>
      </c>
      <c r="H19" s="12">
        <v>813.7</v>
      </c>
      <c r="I19" s="12">
        <f t="shared" si="2"/>
        <v>1253.7719706057999</v>
      </c>
      <c r="J19" s="12">
        <f>(76052.4*2204.622)/1000000</f>
        <v>167.66679419279998</v>
      </c>
      <c r="K19" s="12">
        <f t="shared" si="3"/>
        <v>2235.1387647985998</v>
      </c>
      <c r="L19" s="10">
        <v>2270.8110000000001</v>
      </c>
    </row>
    <row r="20" spans="1:13" ht="14.25" x14ac:dyDescent="0.2">
      <c r="A20" s="32" t="s">
        <v>55</v>
      </c>
      <c r="B20" s="10">
        <f t="shared" si="4"/>
        <v>2270.8110000000001</v>
      </c>
      <c r="C20" s="12">
        <v>2122.8000000000002</v>
      </c>
      <c r="D20" s="12">
        <f>(12544.2*2204.622)/1000000</f>
        <v>27.655219292399998</v>
      </c>
      <c r="E20" s="12">
        <f>SUM(B20:D20)</f>
        <v>4421.2662192924008</v>
      </c>
      <c r="F20" s="10"/>
      <c r="G20" s="10">
        <f t="shared" si="1"/>
        <v>2133.4107486692005</v>
      </c>
      <c r="H20" s="12">
        <v>841.5</v>
      </c>
      <c r="I20" s="12">
        <f t="shared" si="2"/>
        <v>1291.9107486692005</v>
      </c>
      <c r="J20" s="12">
        <f>(74675.6*2204.622)/1000000</f>
        <v>164.63147062319999</v>
      </c>
      <c r="K20" s="12">
        <f t="shared" si="3"/>
        <v>2298.0422192924007</v>
      </c>
      <c r="L20" s="10">
        <v>2123.2240000000002</v>
      </c>
    </row>
    <row r="21" spans="1:13" ht="14.25" x14ac:dyDescent="0.2">
      <c r="A21" s="32" t="s">
        <v>56</v>
      </c>
      <c r="B21" s="10">
        <f t="shared" si="4"/>
        <v>2123.2240000000002</v>
      </c>
      <c r="C21" s="12">
        <v>2012.8</v>
      </c>
      <c r="D21" s="12">
        <f>(10365.4*2204.622)/1000000</f>
        <v>22.851788878799997</v>
      </c>
      <c r="E21" s="12">
        <f>SUM(B21:D21)</f>
        <v>4158.8757888788004</v>
      </c>
      <c r="F21" s="10"/>
      <c r="G21" s="10">
        <f t="shared" si="1"/>
        <v>2013.3924589964006</v>
      </c>
      <c r="H21" s="12">
        <v>812</v>
      </c>
      <c r="I21" s="12">
        <f t="shared" si="2"/>
        <v>1201.3924589964006</v>
      </c>
      <c r="J21" s="12">
        <f>(90889.2*2204.622)/1000000</f>
        <v>200.37632988239997</v>
      </c>
      <c r="K21" s="12">
        <f t="shared" si="3"/>
        <v>2213.7687888788005</v>
      </c>
      <c r="L21" s="10">
        <v>1945.107</v>
      </c>
    </row>
    <row r="22" spans="1:13" ht="14.25" x14ac:dyDescent="0.2">
      <c r="A22" s="32" t="s">
        <v>58</v>
      </c>
      <c r="B22" s="10">
        <f t="shared" si="4"/>
        <v>1945.107</v>
      </c>
      <c r="C22" s="12">
        <v>1967.6210000000001</v>
      </c>
      <c r="D22" s="12">
        <f>(9451*2204.622)/1000000</f>
        <v>20.835882521999999</v>
      </c>
      <c r="E22" s="12">
        <f>SUM(B22:D22)</f>
        <v>3933.5638825219999</v>
      </c>
      <c r="F22" s="10"/>
      <c r="G22" s="10">
        <f t="shared" si="1"/>
        <v>1902.0303247462002</v>
      </c>
      <c r="H22" s="12">
        <v>803.2</v>
      </c>
      <c r="I22" s="12">
        <f t="shared" si="2"/>
        <v>1098.8303247462002</v>
      </c>
      <c r="J22" s="12">
        <f>(81128.9*2204.622)/1000000</f>
        <v>178.85855777579997</v>
      </c>
      <c r="K22" s="12">
        <f t="shared" si="3"/>
        <v>2080.8888825220001</v>
      </c>
      <c r="L22" s="10">
        <v>1852.675</v>
      </c>
      <c r="M22" s="58"/>
    </row>
    <row r="23" spans="1:13" ht="14.25" x14ac:dyDescent="0.2">
      <c r="A23" s="32" t="s">
        <v>3</v>
      </c>
      <c r="B23" s="10"/>
      <c r="C23" s="12">
        <f>SUM(C11:C22)</f>
        <v>24911.120999999996</v>
      </c>
      <c r="D23" s="12">
        <f t="shared" ref="D23:K23" si="5">SUM(D11:D22)</f>
        <v>320.33400168419996</v>
      </c>
      <c r="E23" s="12">
        <f>B11+C23+D23</f>
        <v>27006.771001684196</v>
      </c>
      <c r="F23" s="12"/>
      <c r="G23" s="12">
        <f t="shared" si="5"/>
        <v>22317.405787813401</v>
      </c>
      <c r="H23" s="12">
        <f t="shared" si="5"/>
        <v>8657.8000000000011</v>
      </c>
      <c r="I23" s="12">
        <f t="shared" si="5"/>
        <v>13659.605787813402</v>
      </c>
      <c r="J23" s="12">
        <f t="shared" si="5"/>
        <v>2836.6902138707997</v>
      </c>
      <c r="K23" s="12">
        <f t="shared" si="5"/>
        <v>25154.0960016842</v>
      </c>
      <c r="L23" s="10"/>
    </row>
    <row r="24" spans="1:13" ht="14.25" x14ac:dyDescent="0.2">
      <c r="A24" s="32"/>
      <c r="B24" s="84"/>
      <c r="C24" s="12"/>
      <c r="D24" s="165"/>
      <c r="E24" s="12"/>
      <c r="F24" s="10"/>
      <c r="G24" s="12"/>
      <c r="H24" s="12"/>
      <c r="I24" s="12"/>
      <c r="J24" s="12"/>
      <c r="K24" s="12"/>
      <c r="L24" s="10"/>
    </row>
    <row r="25" spans="1:13" ht="15" x14ac:dyDescent="0.25">
      <c r="A25" s="50" t="s">
        <v>125</v>
      </c>
      <c r="B25" s="84"/>
      <c r="C25" s="12"/>
      <c r="D25" s="12"/>
      <c r="E25" s="12"/>
      <c r="F25" s="10"/>
      <c r="G25" s="12"/>
      <c r="H25" s="12"/>
      <c r="I25" s="12"/>
      <c r="J25" s="12"/>
      <c r="K25" s="12"/>
      <c r="L25" s="10"/>
    </row>
    <row r="26" spans="1:13" ht="14.25" x14ac:dyDescent="0.2">
      <c r="A26" s="32" t="s">
        <v>45</v>
      </c>
      <c r="B26" s="10">
        <f>L22</f>
        <v>1852.675</v>
      </c>
      <c r="C26" s="12">
        <v>2282.471</v>
      </c>
      <c r="D26" s="12">
        <f>(9292.2*2204.622)/1000000</f>
        <v>20.485788548399999</v>
      </c>
      <c r="E26" s="12">
        <f t="shared" ref="E26:E32" si="6">SUM(B26:D26)</f>
        <v>4155.6317885483995</v>
      </c>
      <c r="F26" s="10"/>
      <c r="G26" s="10">
        <v>2003.5</v>
      </c>
      <c r="H26" s="12">
        <v>795</v>
      </c>
      <c r="I26" s="12">
        <v>1208.5</v>
      </c>
      <c r="J26" s="12">
        <f>(84043.5*2204.622)/1000000</f>
        <v>185.28414905699998</v>
      </c>
      <c r="K26" s="12">
        <f t="shared" ref="K26:K32" si="7">E26-L26</f>
        <v>2187.6207885483996</v>
      </c>
      <c r="L26" s="10">
        <v>1968.011</v>
      </c>
    </row>
    <row r="27" spans="1:13" ht="14.25" x14ac:dyDescent="0.2">
      <c r="A27" s="32" t="s">
        <v>46</v>
      </c>
      <c r="B27" s="10">
        <f t="shared" ref="B27:B32" si="8">L26</f>
        <v>1968.011</v>
      </c>
      <c r="C27" s="12">
        <v>2206.7919999999999</v>
      </c>
      <c r="D27" s="12">
        <f>(9620.6*2204.622)/1000000</f>
        <v>21.2097864132</v>
      </c>
      <c r="E27" s="12">
        <f t="shared" si="6"/>
        <v>4196.0127864132</v>
      </c>
      <c r="F27" s="10"/>
      <c r="G27" s="10">
        <v>1901.6</v>
      </c>
      <c r="H27" s="12">
        <v>752</v>
      </c>
      <c r="I27" s="12">
        <v>1149.5999999999999</v>
      </c>
      <c r="J27" s="12">
        <f>(80375.8*2204.622)/1000000</f>
        <v>177.19825694760002</v>
      </c>
      <c r="K27" s="12">
        <f t="shared" si="7"/>
        <v>2078.9157864131998</v>
      </c>
      <c r="L27" s="10">
        <v>2117.0970000000002</v>
      </c>
    </row>
    <row r="28" spans="1:13" ht="14.25" x14ac:dyDescent="0.2">
      <c r="A28" s="32" t="s">
        <v>47</v>
      </c>
      <c r="B28" s="10">
        <f t="shared" si="8"/>
        <v>2117.0970000000002</v>
      </c>
      <c r="C28" s="12">
        <v>2233.4859999999999</v>
      </c>
      <c r="D28" s="12">
        <f>(11495.6*2204.622)/1000000</f>
        <v>25.343452663199997</v>
      </c>
      <c r="E28" s="12">
        <f t="shared" si="6"/>
        <v>4375.9264526632005</v>
      </c>
      <c r="F28" s="10"/>
      <c r="G28" s="10">
        <v>2030</v>
      </c>
      <c r="H28" s="12">
        <v>831</v>
      </c>
      <c r="I28" s="12">
        <v>1199</v>
      </c>
      <c r="J28" s="12">
        <f>(106506.7*2204.622)/1000000</f>
        <v>234.8070139674</v>
      </c>
      <c r="K28" s="12">
        <f t="shared" si="7"/>
        <v>2265.1404526632004</v>
      </c>
      <c r="L28" s="10">
        <v>2110.7860000000001</v>
      </c>
    </row>
    <row r="29" spans="1:13" ht="14.25" x14ac:dyDescent="0.2">
      <c r="A29" s="32" t="s">
        <v>48</v>
      </c>
      <c r="B29" s="10">
        <f t="shared" si="8"/>
        <v>2110.7860000000001</v>
      </c>
      <c r="C29" s="12">
        <v>2308.752</v>
      </c>
      <c r="D29" s="12">
        <f>(8612.3*2204.622)/1000000</f>
        <v>18.986866050599996</v>
      </c>
      <c r="E29" s="12">
        <f t="shared" si="6"/>
        <v>4438.5248660506004</v>
      </c>
      <c r="F29" s="10"/>
      <c r="G29" s="10">
        <v>1804.7</v>
      </c>
      <c r="H29" s="12">
        <v>682.87599999999998</v>
      </c>
      <c r="I29" s="12">
        <v>1121.7</v>
      </c>
      <c r="J29" s="12">
        <f>(148706.1*2204.622)/1000000</f>
        <v>327.84073959419999</v>
      </c>
      <c r="K29" s="12">
        <f t="shared" si="7"/>
        <v>2132.5338660506004</v>
      </c>
      <c r="L29" s="10">
        <v>2305.991</v>
      </c>
    </row>
    <row r="30" spans="1:13" ht="14.25" x14ac:dyDescent="0.2">
      <c r="A30" s="32" t="s">
        <v>49</v>
      </c>
      <c r="B30" s="10">
        <f t="shared" si="8"/>
        <v>2305.991</v>
      </c>
      <c r="C30" s="12">
        <v>1924.749</v>
      </c>
      <c r="D30" s="12">
        <f>(9731.5*2204.622)/1000000</f>
        <v>21.454278992999996</v>
      </c>
      <c r="E30" s="12">
        <f t="shared" si="6"/>
        <v>4252.1942789929999</v>
      </c>
      <c r="F30" s="10"/>
      <c r="G30" s="10">
        <v>1690.2</v>
      </c>
      <c r="H30" s="12">
        <v>552.22799999999995</v>
      </c>
      <c r="I30" s="12">
        <v>1138.2</v>
      </c>
      <c r="J30" s="12">
        <f>(116113.6*2204.622)/1000000</f>
        <v>255.98659705919999</v>
      </c>
      <c r="K30" s="12">
        <f t="shared" si="7"/>
        <v>1946.2062789930001</v>
      </c>
      <c r="L30" s="10">
        <v>2305.9879999999998</v>
      </c>
    </row>
    <row r="31" spans="1:13" ht="14.25" x14ac:dyDescent="0.2">
      <c r="A31" s="32" t="s">
        <v>50</v>
      </c>
      <c r="B31" s="10">
        <f t="shared" si="8"/>
        <v>2305.9879999999998</v>
      </c>
      <c r="C31" s="12">
        <v>2222.123</v>
      </c>
      <c r="D31" s="12">
        <f>(9663.9*2204.622)/1000000</f>
        <v>21.305246545799996</v>
      </c>
      <c r="E31" s="12">
        <f t="shared" si="6"/>
        <v>4549.4162465458003</v>
      </c>
      <c r="F31" s="10"/>
      <c r="G31" s="10">
        <v>2148.1999999999998</v>
      </c>
      <c r="H31" s="12">
        <v>740.35334330000001</v>
      </c>
      <c r="I31" s="12">
        <v>1408.2</v>
      </c>
      <c r="J31" s="12">
        <f>(70685.2*2204.622)/1000000</f>
        <v>155.83414699439999</v>
      </c>
      <c r="K31" s="12">
        <f t="shared" si="7"/>
        <v>2304.1382465458005</v>
      </c>
      <c r="L31" s="10">
        <v>2245.2779999999998</v>
      </c>
    </row>
    <row r="32" spans="1:13" ht="14.25" x14ac:dyDescent="0.2">
      <c r="A32" s="32" t="s">
        <v>51</v>
      </c>
      <c r="B32" s="10">
        <f t="shared" si="8"/>
        <v>2245.2779999999998</v>
      </c>
      <c r="C32" s="12">
        <v>1991.877</v>
      </c>
      <c r="D32" s="12">
        <f>(9309.5*2204.622)/1000000</f>
        <v>20.523928509000001</v>
      </c>
      <c r="E32" s="12">
        <f t="shared" si="6"/>
        <v>4257.6789285089999</v>
      </c>
      <c r="F32" s="10"/>
      <c r="G32" s="10">
        <v>1950.5</v>
      </c>
      <c r="H32" s="12">
        <v>699.93299999999999</v>
      </c>
      <c r="I32" s="12">
        <f>G32-H32</f>
        <v>1250.567</v>
      </c>
      <c r="J32" s="12">
        <f>(58789.4*2204.622)/1000000</f>
        <v>129.60840460679998</v>
      </c>
      <c r="K32" s="12">
        <f t="shared" si="7"/>
        <v>2080.0909285089997</v>
      </c>
      <c r="L32" s="10">
        <v>2177.5880000000002</v>
      </c>
    </row>
    <row r="33" spans="1:12" ht="14.25" x14ac:dyDescent="0.2">
      <c r="A33" s="32" t="s">
        <v>52</v>
      </c>
      <c r="B33" s="10">
        <f t="shared" ref="B33" si="9">L32</f>
        <v>2177.5880000000002</v>
      </c>
      <c r="C33" s="12">
        <v>2043.135</v>
      </c>
      <c r="D33" s="12">
        <f>(7517.3*2204.622)/1000000</f>
        <v>16.572804960599999</v>
      </c>
      <c r="E33" s="12">
        <f t="shared" ref="E33:E35" si="10">SUM(B33:D33)</f>
        <v>4237.2958049605995</v>
      </c>
      <c r="F33" s="10"/>
      <c r="G33" s="10">
        <f>K33-J33</f>
        <v>2019.0822001577997</v>
      </c>
      <c r="H33" s="12">
        <v>787.56200000000001</v>
      </c>
      <c r="I33" s="12">
        <f>G33-H33</f>
        <v>1231.5202001577995</v>
      </c>
      <c r="J33" s="12">
        <f>(32307.4*2204.622)/1000000</f>
        <v>71.225604802800007</v>
      </c>
      <c r="K33" s="12">
        <f>E33-L33</f>
        <v>2090.3078049605997</v>
      </c>
      <c r="L33" s="10">
        <v>2146.9879999999998</v>
      </c>
    </row>
    <row r="34" spans="1:12" ht="14.25" x14ac:dyDescent="0.2">
      <c r="A34" s="32" t="s">
        <v>53</v>
      </c>
      <c r="B34" s="10">
        <f>L33</f>
        <v>2146.9879999999998</v>
      </c>
      <c r="C34" s="12">
        <v>1908.6489999999999</v>
      </c>
      <c r="D34" s="10">
        <f>(11859.1*2204.622)/1000000</f>
        <v>26.144832760199996</v>
      </c>
      <c r="E34" s="12">
        <f t="shared" si="10"/>
        <v>4081.7818327601999</v>
      </c>
      <c r="F34" s="10"/>
      <c r="G34" s="10">
        <f>K34-J34</f>
        <v>1889.5260091224</v>
      </c>
      <c r="H34" s="12">
        <v>663.33</v>
      </c>
      <c r="I34" s="12">
        <f>G34-H34</f>
        <v>1226.1960091224</v>
      </c>
      <c r="J34" s="12">
        <f>(41549.9*2204.622)/1000000</f>
        <v>91.601823637799995</v>
      </c>
      <c r="K34" s="12">
        <f>E34-L34</f>
        <v>1981.1278327601999</v>
      </c>
      <c r="L34" s="10">
        <v>2100.654</v>
      </c>
    </row>
    <row r="35" spans="1:12" ht="14.25" x14ac:dyDescent="0.2">
      <c r="A35" s="32" t="s">
        <v>55</v>
      </c>
      <c r="B35" s="10">
        <f>L34</f>
        <v>2100.654</v>
      </c>
      <c r="C35" s="12">
        <v>1973.2449999999999</v>
      </c>
      <c r="D35" s="10">
        <f>(14747.4*2204.622)/1000000</f>
        <v>32.512442482799997</v>
      </c>
      <c r="E35" s="12">
        <f t="shared" si="10"/>
        <v>4106.4114424828003</v>
      </c>
      <c r="F35" s="10"/>
      <c r="G35" s="10">
        <f>K35-J35</f>
        <v>2000.2450604970002</v>
      </c>
      <c r="H35" s="12" t="s">
        <v>10</v>
      </c>
      <c r="I35" s="12" t="s">
        <v>10</v>
      </c>
      <c r="J35" s="12">
        <f>(16183.9*2204.622)/1000000</f>
        <v>35.679381985799999</v>
      </c>
      <c r="K35" s="12">
        <f>E35-L35</f>
        <v>2035.9244424828003</v>
      </c>
      <c r="L35" s="10">
        <v>2070.4870000000001</v>
      </c>
    </row>
    <row r="36" spans="1:12" ht="14.25" x14ac:dyDescent="0.2">
      <c r="A36" s="26" t="s">
        <v>126</v>
      </c>
      <c r="B36" s="85"/>
      <c r="C36" s="63">
        <f>SUM(C26:C35)</f>
        <v>21095.278999999999</v>
      </c>
      <c r="D36" s="85">
        <f>SUM(D26:D35)</f>
        <v>224.53942792679999</v>
      </c>
      <c r="E36" s="63">
        <f>B26+C36+D36</f>
        <v>23172.493427926798</v>
      </c>
      <c r="F36" s="85"/>
      <c r="G36" s="85">
        <f>SUM(G26:G35)</f>
        <v>19437.5532697772</v>
      </c>
      <c r="H36" s="63">
        <f>SUM(H26:H35)</f>
        <v>6504.2823433000003</v>
      </c>
      <c r="I36" s="63">
        <f>SUM(I26:I35)</f>
        <v>10933.483209280199</v>
      </c>
      <c r="J36" s="63">
        <f>SUM(J26:J35)</f>
        <v>1665.0661186529999</v>
      </c>
      <c r="K36" s="85">
        <f>SUM(K26:K35)</f>
        <v>21102.006427926804</v>
      </c>
      <c r="L36" s="85"/>
    </row>
    <row r="37" spans="1:12" ht="16.5" x14ac:dyDescent="0.2">
      <c r="A37" s="79" t="s">
        <v>157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4.25" x14ac:dyDescent="0.2">
      <c r="A38" s="28" t="s">
        <v>94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4.25" x14ac:dyDescent="0.2">
      <c r="A39" s="34" t="s">
        <v>18</v>
      </c>
      <c r="B39" s="68">
        <f ca="1">NOW()</f>
        <v>44452.456168171295</v>
      </c>
    </row>
  </sheetData>
  <mergeCells count="3">
    <mergeCell ref="B5:L5"/>
    <mergeCell ref="G2:I2"/>
    <mergeCell ref="B2:E2"/>
  </mergeCells>
  <phoneticPr fontId="10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RowHeight="12.75" x14ac:dyDescent="0.2"/>
  <cols>
    <col min="1" max="1" width="14.7109375" style="27" customWidth="1"/>
    <col min="2" max="2" width="12.7109375" style="27" customWidth="1"/>
    <col min="3" max="3" width="10.28515625" style="27" customWidth="1"/>
    <col min="4" max="4" width="13.42578125" style="27" customWidth="1"/>
    <col min="5" max="5" width="15.28515625" style="27" customWidth="1"/>
    <col min="6" max="6" width="10.5703125" style="27" customWidth="1"/>
    <col min="7" max="7" width="11.7109375" style="27" customWidth="1"/>
    <col min="8" max="8" width="8.7109375" style="27" customWidth="1"/>
    <col min="9" max="9" width="9.7109375" style="27" customWidth="1"/>
    <col min="10" max="11" width="7.7109375" style="27" customWidth="1"/>
    <col min="12" max="12" width="8.5703125" style="27" customWidth="1"/>
    <col min="13" max="13" width="9.5703125" style="27" customWidth="1"/>
    <col min="14" max="15" width="7.5703125" style="27" customWidth="1"/>
    <col min="16" max="18" width="9.140625" style="27"/>
    <col min="19" max="19" width="17.42578125" style="27" bestFit="1" customWidth="1"/>
    <col min="20" max="20" width="9.140625" style="27"/>
    <col min="21" max="21" width="28.28515625" style="27" bestFit="1" customWidth="1"/>
    <col min="22" max="16384" width="9.140625" style="27"/>
  </cols>
  <sheetData>
    <row r="1" spans="1:15" ht="14.25" x14ac:dyDescent="0.2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8"/>
      <c r="M1" s="28"/>
      <c r="N1" s="28"/>
      <c r="O1" s="28"/>
    </row>
    <row r="2" spans="1:15" ht="14.25" x14ac:dyDescent="0.2">
      <c r="A2" s="28"/>
      <c r="B2" s="166" t="s">
        <v>0</v>
      </c>
      <c r="C2" s="166"/>
      <c r="D2" s="166"/>
      <c r="E2" s="166"/>
      <c r="F2" s="125"/>
      <c r="G2" s="166" t="s">
        <v>17</v>
      </c>
      <c r="H2" s="166"/>
      <c r="I2" s="166"/>
      <c r="J2" s="166"/>
      <c r="K2" s="125"/>
      <c r="L2" s="28"/>
      <c r="M2" s="28"/>
      <c r="N2" s="28"/>
      <c r="O2" s="28"/>
    </row>
    <row r="3" spans="1:15" ht="14.25" x14ac:dyDescent="0.2">
      <c r="A3" s="28" t="s">
        <v>64</v>
      </c>
      <c r="B3" s="34" t="s">
        <v>28</v>
      </c>
      <c r="C3" s="34"/>
      <c r="D3" s="34"/>
      <c r="E3" s="34"/>
      <c r="F3" s="126"/>
      <c r="G3" s="34"/>
      <c r="H3" s="34"/>
      <c r="I3" s="34"/>
      <c r="J3" s="34"/>
      <c r="K3" s="30" t="s">
        <v>26</v>
      </c>
      <c r="L3" s="28"/>
      <c r="M3" s="28"/>
      <c r="N3" s="28"/>
      <c r="O3" s="28"/>
    </row>
    <row r="4" spans="1:15" ht="14.25" x14ac:dyDescent="0.2">
      <c r="A4" s="35" t="s">
        <v>66</v>
      </c>
      <c r="B4" s="37" t="s">
        <v>42</v>
      </c>
      <c r="C4" s="100" t="s">
        <v>1</v>
      </c>
      <c r="D4" s="39" t="s">
        <v>29</v>
      </c>
      <c r="E4" s="37" t="s">
        <v>73</v>
      </c>
      <c r="F4" s="38"/>
      <c r="G4" s="37" t="s">
        <v>32</v>
      </c>
      <c r="H4" s="37" t="s">
        <v>4</v>
      </c>
      <c r="I4" s="37" t="s">
        <v>33</v>
      </c>
      <c r="J4" s="37" t="s">
        <v>30</v>
      </c>
      <c r="K4" s="37" t="s">
        <v>25</v>
      </c>
      <c r="L4" s="28"/>
      <c r="M4" s="28"/>
      <c r="N4" s="28"/>
      <c r="O4" s="28"/>
    </row>
    <row r="5" spans="1:15" ht="14.25" x14ac:dyDescent="0.2">
      <c r="A5" s="28"/>
      <c r="B5" s="169" t="s">
        <v>14</v>
      </c>
      <c r="C5" s="169"/>
      <c r="D5" s="169"/>
      <c r="E5" s="169"/>
      <c r="F5" s="169"/>
      <c r="G5" s="169"/>
      <c r="H5" s="169"/>
      <c r="I5" s="169"/>
      <c r="J5" s="169"/>
      <c r="K5" s="169"/>
      <c r="L5" s="28"/>
      <c r="M5" s="28"/>
      <c r="N5" s="28"/>
      <c r="O5" s="28"/>
    </row>
    <row r="6" spans="1:15" ht="14.25" x14ac:dyDescent="0.2">
      <c r="A6" s="28" t="s">
        <v>117</v>
      </c>
      <c r="B6" s="127">
        <v>476.97603460691334</v>
      </c>
      <c r="C6" s="127">
        <v>5945</v>
      </c>
      <c r="D6" s="128">
        <v>1.0880000000000001</v>
      </c>
      <c r="E6" s="127">
        <v>6423.0879999999997</v>
      </c>
      <c r="F6" s="129"/>
      <c r="G6" s="127">
        <v>1712.0099999999998</v>
      </c>
      <c r="H6" s="130">
        <v>340.64748459156186</v>
      </c>
      <c r="I6" s="127">
        <v>3914.4029999999993</v>
      </c>
      <c r="J6" s="131">
        <f>E6-K6</f>
        <v>5967.0811380282848</v>
      </c>
      <c r="K6" s="127">
        <v>456.0068619717149</v>
      </c>
      <c r="L6" s="28"/>
      <c r="M6" s="28"/>
      <c r="N6" s="28"/>
      <c r="O6" s="28"/>
    </row>
    <row r="7" spans="1:15" ht="16.5" x14ac:dyDescent="0.2">
      <c r="A7" s="32" t="s">
        <v>120</v>
      </c>
      <c r="B7" s="131">
        <f>K6</f>
        <v>456.0068619717149</v>
      </c>
      <c r="C7" s="131">
        <v>4509</v>
      </c>
      <c r="D7" s="132">
        <v>1</v>
      </c>
      <c r="E7" s="131">
        <f>B7+C7+D7</f>
        <v>4966.0068619717149</v>
      </c>
      <c r="F7" s="133"/>
      <c r="G7" s="131">
        <v>1562.7429999999999</v>
      </c>
      <c r="H7" s="134">
        <v>282.68453874670092</v>
      </c>
      <c r="I7" s="131">
        <f>J7-G7-H7</f>
        <v>2762.0677753251334</v>
      </c>
      <c r="J7" s="131">
        <f>E7-K7</f>
        <v>4607.4953140718344</v>
      </c>
      <c r="K7" s="131">
        <v>358.5115478998805</v>
      </c>
      <c r="L7" s="28"/>
      <c r="M7" s="28"/>
      <c r="N7" s="28"/>
      <c r="O7" s="28"/>
    </row>
    <row r="8" spans="1:15" ht="16.5" x14ac:dyDescent="0.2">
      <c r="A8" s="26" t="s">
        <v>151</v>
      </c>
      <c r="B8" s="135">
        <f>K7</f>
        <v>358.5115478998805</v>
      </c>
      <c r="C8" s="135">
        <v>5645</v>
      </c>
      <c r="D8" s="136">
        <v>1</v>
      </c>
      <c r="E8" s="135">
        <f>B8+C8+D8</f>
        <v>6004.5115478998805</v>
      </c>
      <c r="F8" s="137"/>
      <c r="G8" s="135">
        <v>1775</v>
      </c>
      <c r="H8" s="138">
        <v>300</v>
      </c>
      <c r="I8" s="135">
        <v>3463</v>
      </c>
      <c r="J8" s="135">
        <f>E8-K8</f>
        <v>5538</v>
      </c>
      <c r="K8" s="135">
        <v>466.5115478998805</v>
      </c>
      <c r="L8" s="28"/>
      <c r="M8" s="28"/>
      <c r="N8" s="28"/>
      <c r="O8" s="28"/>
    </row>
    <row r="9" spans="1:15" ht="16.5" x14ac:dyDescent="0.2">
      <c r="A9" s="79" t="s">
        <v>95</v>
      </c>
      <c r="B9" s="28"/>
      <c r="C9" s="129"/>
      <c r="D9" s="129"/>
      <c r="E9" s="129"/>
      <c r="F9" s="129"/>
      <c r="G9" s="139"/>
      <c r="H9" s="129"/>
      <c r="I9" s="129"/>
      <c r="J9" s="129"/>
      <c r="K9" s="28"/>
      <c r="L9" s="28"/>
      <c r="M9" s="28"/>
      <c r="N9" s="28"/>
      <c r="O9" s="28"/>
    </row>
    <row r="10" spans="1:15" ht="14.25" x14ac:dyDescent="0.2">
      <c r="A10" s="28" t="s">
        <v>149</v>
      </c>
      <c r="B10" s="47"/>
      <c r="C10" s="55"/>
      <c r="D10" s="28"/>
      <c r="E10" s="47"/>
      <c r="F10" s="47"/>
      <c r="G10" s="47"/>
      <c r="H10" s="47"/>
      <c r="I10" s="47"/>
      <c r="J10" s="47"/>
      <c r="K10" s="28"/>
      <c r="L10" s="28"/>
      <c r="M10" s="28"/>
      <c r="N10" s="28"/>
      <c r="O10" s="28"/>
    </row>
    <row r="11" spans="1:15" ht="14.25" x14ac:dyDescent="0.2">
      <c r="A11" s="28" t="s">
        <v>121</v>
      </c>
      <c r="B11" s="47"/>
      <c r="C11" s="55"/>
      <c r="D11" s="28"/>
      <c r="E11" s="47"/>
      <c r="F11" s="47"/>
      <c r="G11" s="47"/>
      <c r="H11" s="47"/>
      <c r="I11" s="47"/>
      <c r="J11" s="47"/>
      <c r="K11" s="28"/>
      <c r="L11" s="28"/>
      <c r="M11" s="28"/>
      <c r="N11" s="28"/>
      <c r="O11" s="28"/>
    </row>
    <row r="12" spans="1:15" ht="14.25" x14ac:dyDescent="0.2">
      <c r="A12" s="28"/>
      <c r="B12" s="47"/>
      <c r="C12" s="55"/>
      <c r="D12" s="28"/>
      <c r="E12" s="47"/>
      <c r="F12" s="47"/>
      <c r="G12" s="47"/>
      <c r="H12" s="47"/>
      <c r="I12" s="47"/>
      <c r="J12" s="47"/>
      <c r="K12" s="28"/>
      <c r="L12" s="28"/>
      <c r="M12" s="28"/>
      <c r="N12" s="28"/>
      <c r="O12" s="28"/>
    </row>
    <row r="13" spans="1:15" ht="14.25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4.25" x14ac:dyDescent="0.2">
      <c r="A14" s="26" t="s">
        <v>139</v>
      </c>
      <c r="B14" s="26"/>
      <c r="C14" s="26"/>
      <c r="D14" s="26"/>
      <c r="E14" s="26"/>
      <c r="F14" s="26"/>
      <c r="G14" s="26"/>
      <c r="H14" s="26"/>
      <c r="I14" s="28"/>
      <c r="J14" s="26"/>
      <c r="K14" s="28"/>
      <c r="L14" s="28"/>
      <c r="M14" s="28"/>
      <c r="N14" s="28"/>
      <c r="O14" s="28"/>
    </row>
    <row r="15" spans="1:15" ht="14.25" x14ac:dyDescent="0.2">
      <c r="A15" s="28"/>
      <c r="B15" s="166" t="s">
        <v>0</v>
      </c>
      <c r="C15" s="166"/>
      <c r="D15" s="166"/>
      <c r="E15" s="166"/>
      <c r="F15" s="28"/>
      <c r="G15" s="166" t="s">
        <v>17</v>
      </c>
      <c r="H15" s="166"/>
      <c r="I15" s="166"/>
      <c r="J15" s="28"/>
      <c r="K15" s="28"/>
      <c r="L15" s="28"/>
      <c r="M15" s="28"/>
      <c r="N15" s="28"/>
      <c r="O15" s="28"/>
    </row>
    <row r="16" spans="1:15" ht="14.25" x14ac:dyDescent="0.2">
      <c r="A16" s="28" t="s">
        <v>64</v>
      </c>
      <c r="B16" s="30" t="s">
        <v>28</v>
      </c>
      <c r="C16" s="34"/>
      <c r="D16" s="34"/>
      <c r="E16" s="34"/>
      <c r="F16" s="34"/>
      <c r="G16" s="34"/>
      <c r="H16" s="34"/>
      <c r="I16" s="34"/>
      <c r="J16" s="30" t="s">
        <v>26</v>
      </c>
      <c r="K16" s="28"/>
      <c r="L16" s="28"/>
      <c r="M16" s="28"/>
      <c r="N16" s="28"/>
      <c r="O16" s="28"/>
    </row>
    <row r="17" spans="1:15" ht="14.25" x14ac:dyDescent="0.2">
      <c r="A17" s="35" t="s">
        <v>65</v>
      </c>
      <c r="B17" s="37" t="s">
        <v>25</v>
      </c>
      <c r="C17" s="100" t="s">
        <v>1</v>
      </c>
      <c r="D17" s="39" t="s">
        <v>29</v>
      </c>
      <c r="E17" s="37" t="s">
        <v>30</v>
      </c>
      <c r="F17" s="38"/>
      <c r="G17" s="131" t="s">
        <v>9</v>
      </c>
      <c r="H17" s="37" t="s">
        <v>4</v>
      </c>
      <c r="I17" s="39" t="s">
        <v>24</v>
      </c>
      <c r="J17" s="37" t="s">
        <v>25</v>
      </c>
      <c r="K17" s="28"/>
      <c r="L17" s="28"/>
      <c r="M17" s="28"/>
      <c r="N17" s="28"/>
      <c r="O17" s="28"/>
    </row>
    <row r="18" spans="1:15" ht="14.25" x14ac:dyDescent="0.2">
      <c r="A18" s="28"/>
      <c r="B18" s="169" t="s">
        <v>15</v>
      </c>
      <c r="C18" s="169"/>
      <c r="D18" s="169"/>
      <c r="E18" s="169"/>
      <c r="F18" s="169"/>
      <c r="G18" s="169"/>
      <c r="H18" s="169"/>
      <c r="I18" s="169"/>
      <c r="J18" s="169"/>
      <c r="K18" s="28"/>
      <c r="L18" s="28"/>
      <c r="M18" s="28"/>
      <c r="N18" s="28"/>
      <c r="O18" s="28"/>
    </row>
    <row r="19" spans="1:15" ht="14.25" x14ac:dyDescent="0.2">
      <c r="A19" s="28" t="s">
        <v>117</v>
      </c>
      <c r="B19" s="127">
        <v>43</v>
      </c>
      <c r="C19" s="130">
        <v>779.976</v>
      </c>
      <c r="D19" s="128">
        <v>0</v>
      </c>
      <c r="E19" s="130">
        <v>822.976</v>
      </c>
      <c r="F19" s="28"/>
      <c r="G19" s="130">
        <v>688.44474810762813</v>
      </c>
      <c r="H19" s="130">
        <v>109.65925189237197</v>
      </c>
      <c r="I19" s="134">
        <f>SUM(G19:H19)</f>
        <v>798.10400000000004</v>
      </c>
      <c r="J19" s="127">
        <v>24.872</v>
      </c>
      <c r="K19" s="28"/>
      <c r="L19" s="28"/>
      <c r="M19" s="28"/>
      <c r="N19" s="28"/>
      <c r="O19" s="28"/>
    </row>
    <row r="20" spans="1:15" ht="16.5" x14ac:dyDescent="0.2">
      <c r="A20" s="32" t="s">
        <v>120</v>
      </c>
      <c r="B20" s="131">
        <f>J20</f>
        <v>25</v>
      </c>
      <c r="C20" s="134">
        <v>685</v>
      </c>
      <c r="D20" s="132">
        <v>0</v>
      </c>
      <c r="E20" s="134">
        <f>B20+C20+D20</f>
        <v>710</v>
      </c>
      <c r="F20" s="133"/>
      <c r="G20" s="134">
        <v>619.87199999999996</v>
      </c>
      <c r="H20" s="134">
        <v>65</v>
      </c>
      <c r="I20" s="134">
        <f>SUM(G20:H20)</f>
        <v>684.87199999999996</v>
      </c>
      <c r="J20" s="131">
        <v>25</v>
      </c>
      <c r="K20" s="28"/>
      <c r="L20" s="28"/>
      <c r="M20" s="28"/>
      <c r="N20" s="28"/>
      <c r="O20" s="28"/>
    </row>
    <row r="21" spans="1:15" ht="16.5" x14ac:dyDescent="0.2">
      <c r="A21" s="26" t="s">
        <v>151</v>
      </c>
      <c r="B21" s="135">
        <f>J21</f>
        <v>25</v>
      </c>
      <c r="C21" s="138">
        <v>800</v>
      </c>
      <c r="D21" s="136">
        <v>0</v>
      </c>
      <c r="E21" s="138">
        <f>B21+C21+D21</f>
        <v>825</v>
      </c>
      <c r="F21" s="137"/>
      <c r="G21" s="138">
        <v>725</v>
      </c>
      <c r="H21" s="138">
        <v>75</v>
      </c>
      <c r="I21" s="138">
        <f>SUM(G21:H21)</f>
        <v>800</v>
      </c>
      <c r="J21" s="135">
        <v>25</v>
      </c>
      <c r="K21" s="28"/>
      <c r="L21" s="28"/>
      <c r="M21" s="28"/>
      <c r="N21" s="28"/>
      <c r="O21" s="28"/>
    </row>
    <row r="22" spans="1:15" ht="16.5" x14ac:dyDescent="0.2">
      <c r="A22" s="79" t="s">
        <v>95</v>
      </c>
      <c r="B22" s="28"/>
      <c r="C22" s="129"/>
      <c r="D22" s="129"/>
      <c r="E22" s="129"/>
      <c r="F22" s="129"/>
      <c r="G22" s="129"/>
      <c r="H22" s="129"/>
      <c r="I22" s="28"/>
      <c r="J22" s="28"/>
      <c r="K22" s="28"/>
      <c r="L22" s="28"/>
      <c r="M22" s="28"/>
      <c r="N22" s="28"/>
      <c r="O22" s="28"/>
    </row>
    <row r="23" spans="1:15" ht="14.25" x14ac:dyDescent="0.2">
      <c r="A23" s="28" t="s">
        <v>158</v>
      </c>
      <c r="B23" s="133"/>
      <c r="C23" s="133"/>
      <c r="D23" s="133"/>
      <c r="E23" s="133"/>
      <c r="F23" s="133"/>
      <c r="G23" s="133"/>
      <c r="H23" s="133"/>
      <c r="I23" s="28"/>
      <c r="J23" s="28"/>
      <c r="K23" s="28"/>
      <c r="L23" s="28"/>
      <c r="M23" s="28"/>
      <c r="N23" s="28"/>
      <c r="O23" s="28"/>
    </row>
    <row r="24" spans="1:15" ht="14.25" x14ac:dyDescent="0.2">
      <c r="A24" s="32"/>
      <c r="B24" s="47"/>
      <c r="C24" s="47"/>
      <c r="D24" s="47"/>
      <c r="E24" s="47"/>
      <c r="F24" s="47"/>
      <c r="G24" s="47"/>
      <c r="H24" s="47"/>
      <c r="I24" s="28"/>
      <c r="J24" s="28"/>
      <c r="K24" s="28"/>
      <c r="L24" s="28"/>
      <c r="M24" s="28"/>
      <c r="N24" s="28"/>
      <c r="O24" s="28"/>
    </row>
    <row r="25" spans="1:15" ht="14.25" x14ac:dyDescent="0.2">
      <c r="A25" s="32"/>
      <c r="B25" s="47"/>
      <c r="C25" s="55"/>
      <c r="D25" s="47"/>
      <c r="E25" s="47"/>
      <c r="F25" s="47"/>
      <c r="G25" s="47"/>
      <c r="H25" s="47"/>
      <c r="I25" s="28"/>
      <c r="J25" s="28"/>
      <c r="K25" s="28"/>
      <c r="L25" s="28"/>
      <c r="M25" s="28"/>
      <c r="N25" s="28"/>
      <c r="O25" s="28"/>
    </row>
    <row r="26" spans="1:15" ht="14.25" x14ac:dyDescent="0.2">
      <c r="A26" s="26" t="s">
        <v>140</v>
      </c>
      <c r="B26" s="26"/>
      <c r="C26" s="26"/>
      <c r="D26" s="26"/>
      <c r="E26" s="26"/>
      <c r="F26" s="26"/>
      <c r="G26" s="26"/>
      <c r="H26" s="26"/>
      <c r="I26" s="28"/>
      <c r="J26" s="26"/>
      <c r="K26" s="28"/>
      <c r="L26" s="28"/>
      <c r="M26" s="28"/>
      <c r="N26" s="28"/>
      <c r="O26" s="28"/>
    </row>
    <row r="27" spans="1:15" ht="14.25" x14ac:dyDescent="0.2">
      <c r="A27" s="28"/>
      <c r="B27" s="166" t="s">
        <v>0</v>
      </c>
      <c r="C27" s="166"/>
      <c r="D27" s="166"/>
      <c r="E27" s="166"/>
      <c r="F27" s="28"/>
      <c r="G27" s="166" t="s">
        <v>17</v>
      </c>
      <c r="H27" s="166"/>
      <c r="I27" s="166"/>
      <c r="J27" s="28"/>
      <c r="K27" s="28"/>
      <c r="L27" s="28"/>
      <c r="M27" s="28"/>
      <c r="N27" s="28"/>
      <c r="O27" s="28"/>
    </row>
    <row r="28" spans="1:15" ht="14.25" x14ac:dyDescent="0.2">
      <c r="A28" s="28" t="s">
        <v>64</v>
      </c>
      <c r="B28" s="30" t="s">
        <v>28</v>
      </c>
      <c r="C28" s="34"/>
      <c r="D28" s="34"/>
      <c r="E28" s="34"/>
      <c r="F28" s="34"/>
      <c r="G28" s="34"/>
      <c r="H28" s="34"/>
      <c r="I28" s="34"/>
      <c r="J28" s="30" t="s">
        <v>26</v>
      </c>
      <c r="K28" s="28"/>
      <c r="L28" s="28"/>
      <c r="M28" s="28"/>
      <c r="N28" s="28"/>
      <c r="O28" s="28"/>
    </row>
    <row r="29" spans="1:15" ht="14.25" x14ac:dyDescent="0.2">
      <c r="A29" s="35" t="s">
        <v>65</v>
      </c>
      <c r="B29" s="37" t="s">
        <v>25</v>
      </c>
      <c r="C29" s="37" t="s">
        <v>1</v>
      </c>
      <c r="D29" s="39" t="s">
        <v>29</v>
      </c>
      <c r="E29" s="37" t="s">
        <v>30</v>
      </c>
      <c r="F29" s="38"/>
      <c r="G29" s="37" t="s">
        <v>27</v>
      </c>
      <c r="H29" s="37" t="s">
        <v>4</v>
      </c>
      <c r="I29" s="37" t="s">
        <v>24</v>
      </c>
      <c r="J29" s="37" t="s">
        <v>74</v>
      </c>
      <c r="K29" s="28"/>
      <c r="L29" s="28"/>
      <c r="M29" s="28"/>
      <c r="N29" s="28"/>
      <c r="O29" s="28"/>
    </row>
    <row r="30" spans="1:15" ht="14.25" x14ac:dyDescent="0.2">
      <c r="A30" s="28"/>
      <c r="B30" s="169" t="s">
        <v>153</v>
      </c>
      <c r="C30" s="169"/>
      <c r="D30" s="169"/>
      <c r="E30" s="169"/>
      <c r="F30" s="169"/>
      <c r="G30" s="169"/>
      <c r="H30" s="169"/>
      <c r="I30" s="169"/>
      <c r="J30" s="169"/>
      <c r="K30" s="28"/>
      <c r="L30" s="28"/>
      <c r="M30" s="28"/>
      <c r="N30" s="28"/>
      <c r="O30" s="28"/>
    </row>
    <row r="31" spans="1:15" ht="14.25" x14ac:dyDescent="0.2">
      <c r="A31" s="28" t="s">
        <v>117</v>
      </c>
      <c r="B31" s="128">
        <v>35.040999999999997</v>
      </c>
      <c r="C31" s="130">
        <v>481.34800000000001</v>
      </c>
      <c r="D31" s="128">
        <v>0.26666000000000001</v>
      </c>
      <c r="E31" s="140">
        <f>B31+C31+D31</f>
        <v>516.65566000000001</v>
      </c>
      <c r="F31" s="28"/>
      <c r="G31" s="134">
        <f>I31-H31</f>
        <v>388.20178644136797</v>
      </c>
      <c r="H31" s="130">
        <v>83.915873558632001</v>
      </c>
      <c r="I31" s="134">
        <f>E31-J31</f>
        <v>472.11766</v>
      </c>
      <c r="J31" s="134">
        <v>44.537999999999997</v>
      </c>
      <c r="K31" s="28"/>
      <c r="L31" s="28"/>
      <c r="M31" s="28"/>
      <c r="N31" s="28"/>
      <c r="O31" s="28"/>
    </row>
    <row r="32" spans="1:15" ht="16.5" x14ac:dyDescent="0.2">
      <c r="A32" s="32" t="s">
        <v>120</v>
      </c>
      <c r="B32" s="132">
        <f>J31</f>
        <v>44.537999999999997</v>
      </c>
      <c r="C32" s="134">
        <v>430</v>
      </c>
      <c r="D32" s="132">
        <v>12</v>
      </c>
      <c r="E32" s="140">
        <f>B32+C32+D32</f>
        <v>486.53800000000001</v>
      </c>
      <c r="F32" s="133"/>
      <c r="G32" s="134">
        <f>I32-H32</f>
        <v>376.53800000000001</v>
      </c>
      <c r="H32" s="134">
        <v>65</v>
      </c>
      <c r="I32" s="134">
        <f>E32-J32</f>
        <v>441.53800000000001</v>
      </c>
      <c r="J32" s="134">
        <v>45</v>
      </c>
      <c r="K32" s="28"/>
      <c r="L32" s="28"/>
      <c r="M32" s="28"/>
      <c r="N32" s="28"/>
      <c r="O32" s="28"/>
    </row>
    <row r="33" spans="1:15" ht="16.5" x14ac:dyDescent="0.2">
      <c r="A33" s="26" t="s">
        <v>151</v>
      </c>
      <c r="B33" s="136">
        <f>J32</f>
        <v>45</v>
      </c>
      <c r="C33" s="138">
        <v>495</v>
      </c>
      <c r="D33" s="136">
        <v>5</v>
      </c>
      <c r="E33" s="141">
        <f>B33+C33+D33</f>
        <v>545</v>
      </c>
      <c r="F33" s="137"/>
      <c r="G33" s="138">
        <f>I33-H33</f>
        <v>434.35</v>
      </c>
      <c r="H33" s="138">
        <v>65.650000000000006</v>
      </c>
      <c r="I33" s="138">
        <f>E33-J33</f>
        <v>500</v>
      </c>
      <c r="J33" s="138">
        <v>45</v>
      </c>
      <c r="K33" s="28"/>
      <c r="L33" s="28"/>
      <c r="M33" s="28"/>
      <c r="N33" s="28"/>
      <c r="O33" s="28"/>
    </row>
    <row r="34" spans="1:15" ht="16.5" x14ac:dyDescent="0.2">
      <c r="A34" s="79" t="s">
        <v>95</v>
      </c>
      <c r="B34" s="28"/>
      <c r="C34" s="129"/>
      <c r="D34" s="129"/>
      <c r="E34" s="129"/>
      <c r="F34" s="129"/>
      <c r="G34" s="129"/>
      <c r="H34" s="129"/>
      <c r="I34" s="28"/>
      <c r="J34" s="28"/>
      <c r="K34" s="28"/>
      <c r="L34" s="28"/>
      <c r="M34" s="28"/>
      <c r="N34" s="28"/>
      <c r="O34" s="28"/>
    </row>
    <row r="35" spans="1:15" ht="14.25" x14ac:dyDescent="0.2">
      <c r="A35" s="28" t="s">
        <v>158</v>
      </c>
      <c r="B35" s="47"/>
      <c r="C35" s="55"/>
      <c r="D35" s="47"/>
      <c r="E35" s="47"/>
      <c r="F35" s="47"/>
      <c r="G35" s="47"/>
      <c r="H35" s="47"/>
      <c r="I35" s="28"/>
      <c r="J35" s="28"/>
      <c r="K35" s="28"/>
      <c r="L35" s="28"/>
      <c r="M35" s="28"/>
      <c r="N35" s="28"/>
      <c r="O35" s="28"/>
    </row>
    <row r="36" spans="1:15" ht="14.25" x14ac:dyDescent="0.2">
      <c r="A36" s="32"/>
      <c r="B36" s="32"/>
      <c r="C36" s="32"/>
      <c r="D36" s="32"/>
      <c r="E36" s="32"/>
      <c r="F36" s="32"/>
      <c r="G36" s="32"/>
      <c r="H36" s="32"/>
      <c r="I36" s="28"/>
      <c r="J36" s="28"/>
      <c r="K36" s="28"/>
      <c r="L36" s="28"/>
      <c r="M36" s="28"/>
      <c r="N36" s="28"/>
      <c r="O36" s="28"/>
    </row>
    <row r="37" spans="1:15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4.25" x14ac:dyDescent="0.2">
      <c r="A38" s="26" t="s">
        <v>141</v>
      </c>
      <c r="B38" s="26"/>
      <c r="C38" s="26"/>
      <c r="D38" s="26"/>
      <c r="E38" s="26"/>
      <c r="F38" s="26"/>
      <c r="G38" s="26"/>
      <c r="H38" s="26"/>
      <c r="I38" s="26"/>
      <c r="J38" s="28"/>
      <c r="K38" s="28"/>
      <c r="L38" s="28"/>
      <c r="M38" s="28"/>
      <c r="N38" s="28"/>
      <c r="O38" s="28"/>
    </row>
    <row r="39" spans="1:15" ht="14.25" x14ac:dyDescent="0.2">
      <c r="A39" s="28"/>
      <c r="B39" s="166" t="s">
        <v>19</v>
      </c>
      <c r="C39" s="166"/>
      <c r="D39" s="30" t="s">
        <v>22</v>
      </c>
      <c r="E39" s="166" t="s">
        <v>70</v>
      </c>
      <c r="F39" s="166"/>
      <c r="G39" s="166"/>
      <c r="H39" s="166"/>
      <c r="I39" s="28"/>
      <c r="J39" s="166" t="s">
        <v>17</v>
      </c>
      <c r="K39" s="166"/>
      <c r="L39" s="166"/>
      <c r="M39" s="166"/>
      <c r="N39" s="166"/>
      <c r="O39" s="125"/>
    </row>
    <row r="40" spans="1:15" ht="14.25" x14ac:dyDescent="0.2">
      <c r="A40" s="28" t="s">
        <v>64</v>
      </c>
      <c r="B40" s="30" t="s">
        <v>20</v>
      </c>
      <c r="C40" s="30" t="s">
        <v>21</v>
      </c>
      <c r="D40" s="28"/>
      <c r="E40" s="30" t="s">
        <v>28</v>
      </c>
      <c r="F40" s="30"/>
      <c r="G40" s="30"/>
      <c r="H40" s="30"/>
      <c r="I40" s="28"/>
      <c r="J40" s="142" t="s">
        <v>9</v>
      </c>
      <c r="K40" s="30"/>
      <c r="L40" s="30" t="s">
        <v>76</v>
      </c>
      <c r="M40" s="30"/>
      <c r="N40" s="30"/>
      <c r="O40" s="30" t="s">
        <v>26</v>
      </c>
    </row>
    <row r="41" spans="1:15" ht="14.25" x14ac:dyDescent="0.2">
      <c r="A41" s="35" t="s">
        <v>66</v>
      </c>
      <c r="B41" s="36"/>
      <c r="C41" s="36"/>
      <c r="D41" s="36"/>
      <c r="E41" s="37" t="s">
        <v>25</v>
      </c>
      <c r="F41" s="37" t="s">
        <v>1</v>
      </c>
      <c r="G41" s="37" t="s">
        <v>29</v>
      </c>
      <c r="H41" s="37" t="s">
        <v>30</v>
      </c>
      <c r="I41" s="37"/>
      <c r="J41" s="37" t="s">
        <v>34</v>
      </c>
      <c r="K41" s="37" t="s">
        <v>32</v>
      </c>
      <c r="L41" s="37" t="s">
        <v>5</v>
      </c>
      <c r="M41" s="39" t="s">
        <v>4</v>
      </c>
      <c r="N41" s="37" t="s">
        <v>24</v>
      </c>
      <c r="O41" s="37" t="s">
        <v>74</v>
      </c>
    </row>
    <row r="42" spans="1:15" ht="14.25" x14ac:dyDescent="0.2">
      <c r="A42" s="28"/>
      <c r="B42" s="170" t="s">
        <v>72</v>
      </c>
      <c r="C42" s="171"/>
      <c r="D42" s="143" t="s">
        <v>60</v>
      </c>
      <c r="E42" s="172" t="s">
        <v>16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71"/>
    </row>
    <row r="43" spans="1:15" ht="14.25" x14ac:dyDescent="0.2">
      <c r="A43" s="28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4.25" x14ac:dyDescent="0.2">
      <c r="A44" s="28" t="s">
        <v>117</v>
      </c>
      <c r="B44" s="127">
        <v>1432.7</v>
      </c>
      <c r="C44" s="127">
        <v>1389.7</v>
      </c>
      <c r="D44" s="131">
        <f>F44*1000/C44</f>
        <v>3933.5734331150607</v>
      </c>
      <c r="E44" s="127">
        <v>2421.09</v>
      </c>
      <c r="F44" s="127">
        <v>5466.4870000000001</v>
      </c>
      <c r="G44" s="134">
        <v>113.82652333129602</v>
      </c>
      <c r="H44" s="131">
        <f>SUM(E44:G44)</f>
        <v>8001.4035233312961</v>
      </c>
      <c r="I44" s="127"/>
      <c r="J44" s="127">
        <v>3221.4</v>
      </c>
      <c r="K44" s="127">
        <v>774.15131240000005</v>
      </c>
      <c r="L44" s="134">
        <f>N44-J44-K44-M44</f>
        <v>277.31027254689639</v>
      </c>
      <c r="M44" s="130">
        <v>1610.288415053104</v>
      </c>
      <c r="N44" s="127">
        <v>5883.1500000000005</v>
      </c>
      <c r="O44" s="127">
        <v>2118.1880000000001</v>
      </c>
    </row>
    <row r="45" spans="1:15" ht="16.5" x14ac:dyDescent="0.2">
      <c r="A45" s="32" t="s">
        <v>120</v>
      </c>
      <c r="B45" s="131">
        <v>1664.2</v>
      </c>
      <c r="C45" s="131">
        <v>1615.8</v>
      </c>
      <c r="D45" s="131">
        <f>F45*1000/C45</f>
        <v>3796.2000247555393</v>
      </c>
      <c r="E45" s="131">
        <f>O44</f>
        <v>2118.1880000000001</v>
      </c>
      <c r="F45" s="131">
        <v>6133.9</v>
      </c>
      <c r="G45" s="134">
        <v>121.04780464882167</v>
      </c>
      <c r="H45" s="131">
        <f>SUM(E45:G45)</f>
        <v>8373.1358046488222</v>
      </c>
      <c r="I45" s="131"/>
      <c r="J45" s="131">
        <v>3357.2</v>
      </c>
      <c r="K45" s="131">
        <v>872.91017669999985</v>
      </c>
      <c r="L45" s="134">
        <f>N45-J45-K45-M45</f>
        <v>758.11198954251859</v>
      </c>
      <c r="M45" s="134">
        <v>1416.7516384063038</v>
      </c>
      <c r="N45" s="131">
        <f>H45-O45</f>
        <v>6404.9738046488219</v>
      </c>
      <c r="O45" s="131">
        <v>1968.162</v>
      </c>
    </row>
    <row r="46" spans="1:15" ht="16.5" x14ac:dyDescent="0.2">
      <c r="A46" s="26" t="s">
        <v>151</v>
      </c>
      <c r="B46" s="135">
        <v>1580</v>
      </c>
      <c r="C46" s="135">
        <v>1533</v>
      </c>
      <c r="D46" s="135">
        <f>F46*1000/C46</f>
        <v>4140.9980430528376</v>
      </c>
      <c r="E46" s="135">
        <f>O45</f>
        <v>1968.162</v>
      </c>
      <c r="F46" s="135">
        <v>6348.15</v>
      </c>
      <c r="G46" s="138">
        <v>115</v>
      </c>
      <c r="H46" s="135">
        <f>SUM(E46:G46)</f>
        <v>8431.3119999999999</v>
      </c>
      <c r="I46" s="135"/>
      <c r="J46" s="135">
        <v>3459.4934971207999</v>
      </c>
      <c r="K46" s="135">
        <v>875</v>
      </c>
      <c r="L46" s="138">
        <f>N46-J46-K46-M46</f>
        <v>663.56500000000005</v>
      </c>
      <c r="M46" s="138">
        <v>1400</v>
      </c>
      <c r="N46" s="135">
        <f>H46-O46</f>
        <v>6398.0584971208</v>
      </c>
      <c r="O46" s="135">
        <v>2033.2535028791999</v>
      </c>
    </row>
    <row r="47" spans="1:15" ht="16.5" x14ac:dyDescent="0.2">
      <c r="A47" s="79" t="s">
        <v>95</v>
      </c>
      <c r="B47" s="28"/>
      <c r="C47" s="129"/>
      <c r="D47" s="129"/>
      <c r="E47" s="129"/>
      <c r="F47" s="129"/>
      <c r="G47" s="129"/>
      <c r="H47" s="129"/>
      <c r="I47" s="28"/>
      <c r="J47" s="28"/>
      <c r="K47" s="28"/>
      <c r="L47" s="28"/>
      <c r="M47" s="28"/>
      <c r="N47" s="28"/>
      <c r="O47" s="28"/>
    </row>
    <row r="48" spans="1:15" ht="14.25" x14ac:dyDescent="0.2">
      <c r="A48" s="28" t="s">
        <v>150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4.25" x14ac:dyDescent="0.2">
      <c r="A49" s="28" t="s">
        <v>121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4.25" x14ac:dyDescent="0.2">
      <c r="A50" s="34" t="s">
        <v>18</v>
      </c>
      <c r="B50" s="144">
        <f ca="1">NOW()</f>
        <v>44452.456168402779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44.45" customHeight="1" x14ac:dyDescent="0.2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1:15" ht="15.75" x14ac:dyDescent="0.25">
      <c r="G52" s="107"/>
      <c r="H52" s="107"/>
    </row>
    <row r="53" spans="1:15" ht="15.75" x14ac:dyDescent="0.25">
      <c r="G53" s="107"/>
      <c r="H53" s="107"/>
    </row>
    <row r="54" spans="1:15" ht="15.75" x14ac:dyDescent="0.25">
      <c r="G54" s="107"/>
      <c r="H54" s="107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0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8"/>
  <sheetViews>
    <sheetView showGridLines="0" zoomScale="80" zoomScaleNormal="80" workbookViewId="0"/>
  </sheetViews>
  <sheetFormatPr defaultRowHeight="12.75" x14ac:dyDescent="0.2"/>
  <cols>
    <col min="1" max="1" width="11.7109375" style="27" customWidth="1"/>
    <col min="2" max="2" width="18.85546875" style="27" bestFit="1" customWidth="1"/>
    <col min="3" max="3" width="22.140625" style="27" bestFit="1" customWidth="1"/>
    <col min="4" max="5" width="25.7109375" style="27" bestFit="1" customWidth="1"/>
    <col min="6" max="6" width="16.7109375" style="27" bestFit="1" customWidth="1"/>
    <col min="7" max="7" width="18.85546875" style="27" bestFit="1" customWidth="1"/>
    <col min="8" max="16384" width="9.140625" style="27"/>
  </cols>
  <sheetData>
    <row r="1" spans="1:8" ht="15.6" customHeight="1" x14ac:dyDescent="0.2">
      <c r="A1" s="26" t="s">
        <v>142</v>
      </c>
      <c r="B1" s="26"/>
      <c r="C1" s="26"/>
      <c r="D1" s="26"/>
      <c r="E1" s="26"/>
      <c r="F1" s="26"/>
      <c r="G1" s="26"/>
      <c r="H1" s="80"/>
    </row>
    <row r="2" spans="1:8" ht="15.6" customHeight="1" x14ac:dyDescent="0.2">
      <c r="A2" s="32" t="s">
        <v>11</v>
      </c>
      <c r="B2" s="49" t="s">
        <v>96</v>
      </c>
      <c r="C2" s="49" t="s">
        <v>97</v>
      </c>
      <c r="D2" s="49" t="s">
        <v>98</v>
      </c>
      <c r="E2" s="49" t="s">
        <v>99</v>
      </c>
      <c r="F2" s="49" t="s">
        <v>100</v>
      </c>
      <c r="G2" s="49" t="s">
        <v>101</v>
      </c>
      <c r="H2" s="80"/>
    </row>
    <row r="3" spans="1:8" ht="15.6" customHeight="1" x14ac:dyDescent="0.2">
      <c r="A3" s="26" t="s">
        <v>12</v>
      </c>
      <c r="B3" s="38"/>
      <c r="C3" s="86"/>
      <c r="D3" s="86"/>
      <c r="E3" s="86"/>
      <c r="F3" s="86"/>
      <c r="G3" s="86"/>
      <c r="H3" s="80"/>
    </row>
    <row r="4" spans="1:8" ht="14.25" x14ac:dyDescent="0.2">
      <c r="A4" s="87"/>
      <c r="B4" s="88" t="s">
        <v>130</v>
      </c>
      <c r="C4" s="88" t="s">
        <v>131</v>
      </c>
      <c r="D4" s="88" t="s">
        <v>133</v>
      </c>
      <c r="E4" s="88" t="s">
        <v>133</v>
      </c>
      <c r="F4" s="88" t="s">
        <v>132</v>
      </c>
      <c r="G4" s="88" t="s">
        <v>130</v>
      </c>
      <c r="H4" s="80"/>
    </row>
    <row r="5" spans="1:8" ht="14.25" x14ac:dyDescent="0.2">
      <c r="A5" s="28"/>
      <c r="B5" s="28"/>
      <c r="C5" s="28"/>
      <c r="D5" s="30"/>
      <c r="E5" s="28"/>
      <c r="F5" s="28"/>
      <c r="G5" s="28"/>
      <c r="H5" s="80"/>
    </row>
    <row r="6" spans="1:8" ht="14.25" x14ac:dyDescent="0.2">
      <c r="A6" s="28" t="s">
        <v>43</v>
      </c>
      <c r="B6" s="89">
        <v>11.3</v>
      </c>
      <c r="C6" s="89">
        <v>161</v>
      </c>
      <c r="D6" s="89">
        <v>23.3</v>
      </c>
      <c r="E6" s="89">
        <v>19.3</v>
      </c>
      <c r="F6" s="89">
        <v>22.5</v>
      </c>
      <c r="G6" s="89">
        <v>12.2</v>
      </c>
      <c r="H6" s="80"/>
    </row>
    <row r="7" spans="1:8" ht="14.25" x14ac:dyDescent="0.2">
      <c r="A7" s="28" t="s">
        <v>54</v>
      </c>
      <c r="B7" s="89">
        <v>12.5</v>
      </c>
      <c r="C7" s="89">
        <v>260</v>
      </c>
      <c r="D7" s="89">
        <v>29.1</v>
      </c>
      <c r="E7" s="89">
        <v>24</v>
      </c>
      <c r="F7" s="89">
        <v>31.8</v>
      </c>
      <c r="G7" s="89">
        <v>13.9</v>
      </c>
      <c r="H7" s="80"/>
    </row>
    <row r="8" spans="1:8" ht="14.25" x14ac:dyDescent="0.2">
      <c r="A8" s="28" t="s">
        <v>69</v>
      </c>
      <c r="B8" s="89">
        <v>14.4</v>
      </c>
      <c r="C8" s="89">
        <v>252</v>
      </c>
      <c r="D8" s="89">
        <v>25.4</v>
      </c>
      <c r="E8" s="89">
        <v>26.5</v>
      </c>
      <c r="F8" s="89">
        <v>30.1</v>
      </c>
      <c r="G8" s="89">
        <v>13.8</v>
      </c>
      <c r="H8" s="80"/>
    </row>
    <row r="9" spans="1:8" ht="14.25" x14ac:dyDescent="0.2">
      <c r="A9" s="28" t="s">
        <v>75</v>
      </c>
      <c r="B9" s="89">
        <v>13</v>
      </c>
      <c r="C9" s="89">
        <v>246</v>
      </c>
      <c r="D9" s="89">
        <v>21.4</v>
      </c>
      <c r="E9" s="89">
        <v>20.6</v>
      </c>
      <c r="F9" s="89">
        <v>24.9</v>
      </c>
      <c r="G9" s="89">
        <v>13.8</v>
      </c>
      <c r="H9" s="80"/>
    </row>
    <row r="10" spans="1:8" ht="14.25" x14ac:dyDescent="0.2">
      <c r="A10" s="28" t="s">
        <v>77</v>
      </c>
      <c r="B10" s="89">
        <v>10.1</v>
      </c>
      <c r="C10" s="89">
        <v>194</v>
      </c>
      <c r="D10" s="89">
        <v>21.7</v>
      </c>
      <c r="E10" s="89">
        <v>16.899999999999999</v>
      </c>
      <c r="F10" s="89">
        <v>22</v>
      </c>
      <c r="G10" s="89">
        <v>11.8</v>
      </c>
      <c r="H10" s="80"/>
    </row>
    <row r="11" spans="1:8" ht="14.25" x14ac:dyDescent="0.2">
      <c r="A11" s="28" t="s">
        <v>78</v>
      </c>
      <c r="B11" s="89">
        <v>8.9499999999999993</v>
      </c>
      <c r="C11" s="89">
        <v>227</v>
      </c>
      <c r="D11" s="89">
        <v>19.600000000000001</v>
      </c>
      <c r="E11" s="89">
        <v>15.6</v>
      </c>
      <c r="F11" s="89">
        <v>19.3</v>
      </c>
      <c r="G11" s="89">
        <v>8.9499999999999993</v>
      </c>
      <c r="H11" s="80"/>
    </row>
    <row r="12" spans="1:8" ht="14.25" x14ac:dyDescent="0.2">
      <c r="A12" s="28" t="s">
        <v>90</v>
      </c>
      <c r="B12" s="89">
        <v>9.4700000000000006</v>
      </c>
      <c r="C12" s="89">
        <v>195</v>
      </c>
      <c r="D12" s="89">
        <v>17.399999999999999</v>
      </c>
      <c r="E12" s="89">
        <v>16.600000000000001</v>
      </c>
      <c r="F12" s="89">
        <v>19.7</v>
      </c>
      <c r="G12" s="89">
        <v>8</v>
      </c>
      <c r="H12" s="80"/>
    </row>
    <row r="13" spans="1:8" ht="14.25" x14ac:dyDescent="0.2">
      <c r="A13" s="28" t="s">
        <v>91</v>
      </c>
      <c r="B13" s="89">
        <v>9.33</v>
      </c>
      <c r="C13" s="89">
        <v>142</v>
      </c>
      <c r="D13" s="89">
        <v>17.2</v>
      </c>
      <c r="E13" s="89">
        <v>17.5</v>
      </c>
      <c r="F13" s="89">
        <v>22.9</v>
      </c>
      <c r="G13" s="89">
        <v>9.5299999999999994</v>
      </c>
      <c r="H13" s="80"/>
    </row>
    <row r="14" spans="1:8" ht="14.25" x14ac:dyDescent="0.2">
      <c r="A14" s="28" t="s">
        <v>115</v>
      </c>
      <c r="B14" s="89">
        <v>8.48</v>
      </c>
      <c r="C14" s="89">
        <v>155</v>
      </c>
      <c r="D14" s="89">
        <v>17.399999999999999</v>
      </c>
      <c r="E14" s="89">
        <v>15.8</v>
      </c>
      <c r="F14" s="89">
        <v>21.5</v>
      </c>
      <c r="G14" s="89">
        <v>9.89</v>
      </c>
      <c r="H14" s="80"/>
    </row>
    <row r="15" spans="1:8" ht="14.25" x14ac:dyDescent="0.2">
      <c r="A15" s="28" t="s">
        <v>117</v>
      </c>
      <c r="B15" s="89">
        <v>8.57</v>
      </c>
      <c r="C15" s="89">
        <v>161</v>
      </c>
      <c r="D15" s="89">
        <v>19.5</v>
      </c>
      <c r="E15" s="89">
        <v>14.8</v>
      </c>
      <c r="F15" s="89">
        <v>20.5</v>
      </c>
      <c r="G15" s="89">
        <v>9.15</v>
      </c>
      <c r="H15" s="80"/>
    </row>
    <row r="16" spans="1:8" ht="16.5" x14ac:dyDescent="0.2">
      <c r="A16" s="28" t="s">
        <v>154</v>
      </c>
      <c r="B16" s="89">
        <v>10.9</v>
      </c>
      <c r="C16" s="89">
        <v>185</v>
      </c>
      <c r="D16" s="89">
        <v>21.05</v>
      </c>
      <c r="E16" s="89">
        <v>18.400000000000002</v>
      </c>
      <c r="F16" s="89">
        <v>21</v>
      </c>
      <c r="G16" s="89">
        <v>11.102000000000002</v>
      </c>
      <c r="H16" s="80"/>
    </row>
    <row r="17" spans="1:8" ht="16.5" x14ac:dyDescent="0.2">
      <c r="A17" s="28" t="s">
        <v>155</v>
      </c>
      <c r="B17" s="89">
        <v>12.9</v>
      </c>
      <c r="C17" s="89">
        <v>235</v>
      </c>
      <c r="D17" s="89">
        <v>26.25</v>
      </c>
      <c r="E17" s="89">
        <v>30</v>
      </c>
      <c r="F17" s="89">
        <v>21.5</v>
      </c>
      <c r="G17" s="89">
        <v>21.498400000000004</v>
      </c>
      <c r="H17" s="80"/>
    </row>
    <row r="18" spans="1:8" ht="14.25" x14ac:dyDescent="0.2">
      <c r="A18" s="32"/>
      <c r="B18" s="90"/>
      <c r="C18" s="91"/>
      <c r="D18" s="92"/>
      <c r="E18" s="92"/>
      <c r="F18" s="93"/>
      <c r="G18" s="94"/>
      <c r="H18" s="81"/>
    </row>
    <row r="19" spans="1:8" ht="15" x14ac:dyDescent="0.25">
      <c r="A19" s="95" t="s">
        <v>117</v>
      </c>
      <c r="B19" s="89"/>
      <c r="C19" s="89"/>
      <c r="D19" s="89"/>
      <c r="E19" s="89"/>
      <c r="F19" s="89"/>
      <c r="G19" s="89"/>
    </row>
    <row r="20" spans="1:8" ht="14.25" x14ac:dyDescent="0.2">
      <c r="A20" s="32" t="s">
        <v>58</v>
      </c>
      <c r="B20" s="89">
        <v>8.35</v>
      </c>
      <c r="C20" s="89">
        <v>148</v>
      </c>
      <c r="D20" s="89">
        <v>18.5</v>
      </c>
      <c r="E20" s="89">
        <v>14.2</v>
      </c>
      <c r="F20" s="89">
        <v>19.8</v>
      </c>
      <c r="G20" s="89">
        <v>8.84</v>
      </c>
    </row>
    <row r="21" spans="1:8" ht="14.25" x14ac:dyDescent="0.2">
      <c r="A21" s="32" t="s">
        <v>45</v>
      </c>
      <c r="B21" s="89">
        <v>8.6</v>
      </c>
      <c r="C21" s="89">
        <v>152</v>
      </c>
      <c r="D21" s="89">
        <v>17.5</v>
      </c>
      <c r="E21" s="89">
        <v>14.2</v>
      </c>
      <c r="F21" s="89">
        <v>20.399999999999999</v>
      </c>
      <c r="G21" s="89">
        <v>9.01</v>
      </c>
    </row>
    <row r="22" spans="1:8" ht="14.25" x14ac:dyDescent="0.2">
      <c r="A22" s="32" t="s">
        <v>46</v>
      </c>
      <c r="B22" s="89">
        <v>8.59</v>
      </c>
      <c r="C22" s="89">
        <v>162</v>
      </c>
      <c r="D22" s="89">
        <v>17.7</v>
      </c>
      <c r="E22" s="89">
        <v>14.3</v>
      </c>
      <c r="F22" s="89">
        <v>19.2</v>
      </c>
      <c r="G22" s="89">
        <v>8.6999999999999993</v>
      </c>
    </row>
    <row r="23" spans="1:8" ht="14.25" x14ac:dyDescent="0.2">
      <c r="A23" s="32" t="s">
        <v>47</v>
      </c>
      <c r="B23" s="89">
        <v>8.6999999999999993</v>
      </c>
      <c r="C23" s="89">
        <v>163</v>
      </c>
      <c r="D23" s="89">
        <v>17.8</v>
      </c>
      <c r="E23" s="89">
        <v>14.7</v>
      </c>
      <c r="F23" s="89">
        <v>19.600000000000001</v>
      </c>
      <c r="G23" s="89">
        <v>8.91</v>
      </c>
    </row>
    <row r="24" spans="1:8" ht="14.25" x14ac:dyDescent="0.2">
      <c r="A24" s="32" t="s">
        <v>48</v>
      </c>
      <c r="B24" s="89">
        <v>8.84</v>
      </c>
      <c r="C24" s="89">
        <v>161</v>
      </c>
      <c r="D24" s="89">
        <v>19.5</v>
      </c>
      <c r="E24" s="89">
        <v>16.100000000000001</v>
      </c>
      <c r="F24" s="89">
        <v>20.9</v>
      </c>
      <c r="G24" s="89">
        <v>8.9700000000000006</v>
      </c>
    </row>
    <row r="25" spans="1:8" ht="14.25" x14ac:dyDescent="0.2">
      <c r="A25" s="32" t="s">
        <v>49</v>
      </c>
      <c r="B25" s="89">
        <v>8.6</v>
      </c>
      <c r="C25" s="89">
        <v>190</v>
      </c>
      <c r="D25" s="89">
        <v>20.399999999999999</v>
      </c>
      <c r="E25" s="89">
        <v>16.100000000000001</v>
      </c>
      <c r="F25" s="89">
        <v>20.5</v>
      </c>
      <c r="G25" s="89">
        <v>10.4</v>
      </c>
    </row>
    <row r="26" spans="1:8" ht="14.25" x14ac:dyDescent="0.2">
      <c r="A26" s="32" t="s">
        <v>50</v>
      </c>
      <c r="B26" s="89">
        <v>8.4700000000000006</v>
      </c>
      <c r="C26" s="89" t="s">
        <v>10</v>
      </c>
      <c r="D26" s="89">
        <v>20.9</v>
      </c>
      <c r="E26" s="89">
        <v>15.7</v>
      </c>
      <c r="F26" s="89">
        <v>20.6</v>
      </c>
      <c r="G26" s="89">
        <v>10.7</v>
      </c>
    </row>
    <row r="27" spans="1:8" ht="14.25" x14ac:dyDescent="0.2">
      <c r="A27" s="32" t="s">
        <v>51</v>
      </c>
      <c r="B27" s="89">
        <v>8.35</v>
      </c>
      <c r="C27" s="89" t="s">
        <v>10</v>
      </c>
      <c r="D27" s="89">
        <v>20.3</v>
      </c>
      <c r="E27" s="89">
        <v>15.2</v>
      </c>
      <c r="F27" s="89">
        <v>20.6</v>
      </c>
      <c r="G27" s="89">
        <v>9.31</v>
      </c>
    </row>
    <row r="28" spans="1:8" ht="14.25" x14ac:dyDescent="0.2">
      <c r="A28" s="32" t="s">
        <v>52</v>
      </c>
      <c r="B28" s="89">
        <v>8.2799999999999994</v>
      </c>
      <c r="C28" s="89" t="s">
        <v>10</v>
      </c>
      <c r="D28" s="89">
        <v>20.5</v>
      </c>
      <c r="E28" s="89">
        <v>14.4</v>
      </c>
      <c r="F28" s="89">
        <v>21.1</v>
      </c>
      <c r="G28" s="89">
        <v>9.57</v>
      </c>
    </row>
    <row r="29" spans="1:8" ht="14.25" x14ac:dyDescent="0.2">
      <c r="A29" s="32" t="s">
        <v>53</v>
      </c>
      <c r="B29" s="89">
        <v>8.34</v>
      </c>
      <c r="C29" s="89" t="s">
        <v>10</v>
      </c>
      <c r="D29" s="89">
        <v>21.7</v>
      </c>
      <c r="E29" s="89">
        <v>15.2</v>
      </c>
      <c r="F29" s="89">
        <v>20.7</v>
      </c>
      <c r="G29" s="89">
        <v>10</v>
      </c>
    </row>
    <row r="30" spans="1:8" ht="14.25" x14ac:dyDescent="0.2">
      <c r="A30" s="32" t="s">
        <v>55</v>
      </c>
      <c r="B30" s="89">
        <v>8.5</v>
      </c>
      <c r="C30" s="89" t="s">
        <v>10</v>
      </c>
      <c r="D30" s="89">
        <v>23.7</v>
      </c>
      <c r="E30" s="89">
        <v>15.5</v>
      </c>
      <c r="F30" s="89">
        <v>20.7</v>
      </c>
      <c r="G30" s="89">
        <v>9.64</v>
      </c>
    </row>
    <row r="31" spans="1:8" ht="14.25" x14ac:dyDescent="0.2">
      <c r="A31" s="32" t="s">
        <v>56</v>
      </c>
      <c r="B31" s="89">
        <v>8.66</v>
      </c>
      <c r="C31" s="89">
        <v>155</v>
      </c>
      <c r="D31" s="89">
        <v>25.8</v>
      </c>
      <c r="E31" s="89">
        <v>15.1</v>
      </c>
      <c r="F31" s="89">
        <v>20.6</v>
      </c>
      <c r="G31" s="89">
        <v>8.56</v>
      </c>
    </row>
    <row r="32" spans="1:8" ht="14.25" x14ac:dyDescent="0.2">
      <c r="A32" s="32"/>
      <c r="B32" s="89"/>
      <c r="C32" s="89"/>
      <c r="D32" s="89"/>
      <c r="E32" s="89"/>
      <c r="F32" s="89"/>
      <c r="G32" s="89"/>
    </row>
    <row r="33" spans="1:7" ht="15" x14ac:dyDescent="0.25">
      <c r="A33" s="95" t="s">
        <v>125</v>
      </c>
      <c r="B33" s="89"/>
      <c r="C33" s="89"/>
      <c r="D33" s="89"/>
      <c r="E33" s="89"/>
      <c r="F33" s="89"/>
      <c r="G33" s="89"/>
    </row>
    <row r="34" spans="1:7" ht="14.25" x14ac:dyDescent="0.2">
      <c r="A34" s="32" t="s">
        <v>58</v>
      </c>
      <c r="B34" s="89">
        <v>9.24</v>
      </c>
      <c r="C34" s="89">
        <v>160</v>
      </c>
      <c r="D34" s="89">
        <v>23.7</v>
      </c>
      <c r="E34" s="89">
        <v>16.399999999999999</v>
      </c>
      <c r="F34" s="89">
        <v>20.5</v>
      </c>
      <c r="G34" s="89">
        <v>9.64</v>
      </c>
    </row>
    <row r="35" spans="1:7" ht="14.25" x14ac:dyDescent="0.2">
      <c r="A35" s="32" t="s">
        <v>45</v>
      </c>
      <c r="B35" s="89">
        <v>9.6300000000000008</v>
      </c>
      <c r="C35" s="89">
        <v>189</v>
      </c>
      <c r="D35" s="89">
        <v>19.100000000000001</v>
      </c>
      <c r="E35" s="89">
        <v>16.2</v>
      </c>
      <c r="F35" s="89">
        <v>20.9</v>
      </c>
      <c r="G35" s="89">
        <v>9.76</v>
      </c>
    </row>
    <row r="36" spans="1:7" ht="14.25" x14ac:dyDescent="0.2">
      <c r="A36" s="32" t="s">
        <v>46</v>
      </c>
      <c r="B36" s="89">
        <v>10.3</v>
      </c>
      <c r="C36" s="89">
        <v>199</v>
      </c>
      <c r="D36" s="89">
        <v>18.899999999999999</v>
      </c>
      <c r="E36" s="89">
        <v>18.100000000000001</v>
      </c>
      <c r="F36" s="89">
        <v>21.2</v>
      </c>
      <c r="G36" s="89">
        <v>10.7</v>
      </c>
    </row>
    <row r="37" spans="1:7" ht="14.25" x14ac:dyDescent="0.2">
      <c r="A37" s="32" t="s">
        <v>47</v>
      </c>
      <c r="B37" s="89">
        <v>10.5</v>
      </c>
      <c r="C37" s="89">
        <v>195</v>
      </c>
      <c r="D37" s="89">
        <v>19.2</v>
      </c>
      <c r="E37" s="89">
        <v>17.2</v>
      </c>
      <c r="F37" s="89">
        <v>20.399999999999999</v>
      </c>
      <c r="G37" s="89">
        <v>10.9</v>
      </c>
    </row>
    <row r="38" spans="1:7" ht="14.25" x14ac:dyDescent="0.2">
      <c r="A38" s="32" t="s">
        <v>48</v>
      </c>
      <c r="B38" s="89">
        <v>10.9</v>
      </c>
      <c r="C38" s="89">
        <v>209</v>
      </c>
      <c r="D38" s="89">
        <v>19.600000000000001</v>
      </c>
      <c r="E38" s="89">
        <v>18.8</v>
      </c>
      <c r="F38" s="89">
        <v>20.5</v>
      </c>
      <c r="G38" s="89">
        <v>12</v>
      </c>
    </row>
    <row r="39" spans="1:7" ht="14.25" x14ac:dyDescent="0.2">
      <c r="A39" s="32" t="s">
        <v>49</v>
      </c>
      <c r="B39" s="89">
        <v>12.7</v>
      </c>
      <c r="C39" s="89">
        <v>186</v>
      </c>
      <c r="D39" s="89">
        <v>21.4</v>
      </c>
      <c r="E39" s="89">
        <v>20.399999999999999</v>
      </c>
      <c r="F39" s="89">
        <v>20.5</v>
      </c>
      <c r="G39" s="89">
        <v>13.2</v>
      </c>
    </row>
    <row r="40" spans="1:7" ht="14.25" x14ac:dyDescent="0.2">
      <c r="A40" s="32" t="s">
        <v>50</v>
      </c>
      <c r="B40" s="89">
        <v>13.2</v>
      </c>
      <c r="C40" s="89" t="s">
        <v>10</v>
      </c>
      <c r="D40" s="89">
        <v>21.6</v>
      </c>
      <c r="E40" s="89">
        <v>22</v>
      </c>
      <c r="F40" s="89">
        <v>21.2</v>
      </c>
      <c r="G40" s="89">
        <v>15.7</v>
      </c>
    </row>
    <row r="41" spans="1:7" ht="14.25" x14ac:dyDescent="0.2">
      <c r="A41" s="32" t="s">
        <v>51</v>
      </c>
      <c r="B41" s="89">
        <v>13.9</v>
      </c>
      <c r="C41" s="89" t="s">
        <v>10</v>
      </c>
      <c r="D41" s="89">
        <v>23.7</v>
      </c>
      <c r="E41" s="89">
        <v>23.8</v>
      </c>
      <c r="F41" s="89">
        <v>21.4</v>
      </c>
      <c r="G41" s="89">
        <v>18.100000000000001</v>
      </c>
    </row>
    <row r="42" spans="1:7" ht="14.25" x14ac:dyDescent="0.2">
      <c r="A42" s="32" t="s">
        <v>52</v>
      </c>
      <c r="B42" s="89">
        <v>14.8</v>
      </c>
      <c r="C42" s="89" t="s">
        <v>10</v>
      </c>
      <c r="D42" s="89">
        <v>26.4</v>
      </c>
      <c r="E42" s="89">
        <v>26.1</v>
      </c>
      <c r="F42" s="89">
        <v>21.3</v>
      </c>
      <c r="G42" s="89">
        <v>18.3</v>
      </c>
    </row>
    <row r="43" spans="1:7" ht="14.25" x14ac:dyDescent="0.2">
      <c r="A43" s="32" t="s">
        <v>53</v>
      </c>
      <c r="B43" s="89">
        <v>14.5</v>
      </c>
      <c r="C43" s="89" t="s">
        <v>10</v>
      </c>
      <c r="D43" s="89">
        <v>28.4</v>
      </c>
      <c r="E43" s="89">
        <v>26</v>
      </c>
      <c r="F43" s="89">
        <v>21.3</v>
      </c>
      <c r="G43" s="89">
        <v>19.899999999999999</v>
      </c>
    </row>
    <row r="44" spans="1:7" ht="14.25" x14ac:dyDescent="0.2">
      <c r="A44" s="26" t="s">
        <v>55</v>
      </c>
      <c r="B44" s="24">
        <v>14.1</v>
      </c>
      <c r="C44" s="24" t="s">
        <v>10</v>
      </c>
      <c r="D44" s="24">
        <v>28</v>
      </c>
      <c r="E44" s="24">
        <v>27.7</v>
      </c>
      <c r="F44" s="24">
        <v>21.6</v>
      </c>
      <c r="G44" s="24">
        <v>20.100000000000001</v>
      </c>
    </row>
    <row r="45" spans="1:7" ht="16.5" x14ac:dyDescent="0.2">
      <c r="A45" s="28" t="s">
        <v>165</v>
      </c>
      <c r="B45" s="28"/>
      <c r="C45" s="28"/>
      <c r="D45" s="28"/>
      <c r="E45" s="28"/>
      <c r="F45" s="28"/>
      <c r="G45" s="28"/>
    </row>
    <row r="46" spans="1:7" ht="14.25" x14ac:dyDescent="0.2">
      <c r="A46" s="28" t="s">
        <v>44</v>
      </c>
      <c r="B46" s="96"/>
      <c r="C46" s="96"/>
      <c r="D46" s="96"/>
      <c r="E46" s="96"/>
      <c r="F46" s="96"/>
      <c r="G46" s="96"/>
    </row>
    <row r="47" spans="1:7" ht="14.25" x14ac:dyDescent="0.2">
      <c r="A47" s="28" t="s">
        <v>102</v>
      </c>
      <c r="B47" s="28"/>
      <c r="C47" s="28"/>
      <c r="D47" s="28"/>
      <c r="E47" s="28"/>
      <c r="F47" s="28"/>
      <c r="G47" s="28"/>
    </row>
    <row r="48" spans="1:7" ht="14.25" x14ac:dyDescent="0.2">
      <c r="A48" s="34" t="s">
        <v>18</v>
      </c>
      <c r="B48" s="68">
        <f ca="1">NOW()</f>
        <v>44452.456168402779</v>
      </c>
      <c r="C48" s="28"/>
      <c r="D48" s="28"/>
      <c r="E48" s="28"/>
      <c r="F48" s="28"/>
      <c r="G48" s="28"/>
    </row>
  </sheetData>
  <phoneticPr fontId="10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T68"/>
  <sheetViews>
    <sheetView showGridLines="0" zoomScale="70" zoomScaleNormal="70" workbookViewId="0"/>
  </sheetViews>
  <sheetFormatPr defaultRowHeight="12.75" x14ac:dyDescent="0.2"/>
  <cols>
    <col min="1" max="2" width="11.7109375" style="27" customWidth="1"/>
    <col min="3" max="3" width="11.5703125" style="27" customWidth="1"/>
    <col min="4" max="4" width="13.7109375" style="27" customWidth="1"/>
    <col min="5" max="5" width="10.5703125" style="27" customWidth="1"/>
    <col min="6" max="6" width="11.5703125" style="27" bestFit="1" customWidth="1"/>
    <col min="7" max="7" width="10.7109375" style="27" customWidth="1"/>
    <col min="8" max="9" width="10.5703125" style="27" customWidth="1"/>
    <col min="10" max="11" width="9.140625" style="27"/>
    <col min="12" max="12" width="22.28515625" style="27" bestFit="1" customWidth="1"/>
    <col min="13" max="13" width="20.28515625" style="27" bestFit="1" customWidth="1"/>
    <col min="14" max="16384" width="9.140625" style="27"/>
  </cols>
  <sheetData>
    <row r="1" spans="1:9" ht="14.25" x14ac:dyDescent="0.2">
      <c r="A1" s="26" t="s">
        <v>143</v>
      </c>
      <c r="B1" s="26"/>
      <c r="C1" s="26"/>
      <c r="D1" s="26"/>
      <c r="E1" s="26"/>
      <c r="F1" s="26"/>
      <c r="G1" s="26"/>
      <c r="H1" s="26"/>
      <c r="I1" s="28"/>
    </row>
    <row r="2" spans="1:9" ht="15.6" customHeight="1" x14ac:dyDescent="0.2">
      <c r="A2" s="97" t="s">
        <v>11</v>
      </c>
      <c r="B2" s="49" t="s">
        <v>35</v>
      </c>
      <c r="C2" s="49" t="s">
        <v>13</v>
      </c>
      <c r="D2" s="49" t="s">
        <v>68</v>
      </c>
      <c r="E2" s="98" t="s">
        <v>41</v>
      </c>
      <c r="F2" s="98" t="s">
        <v>36</v>
      </c>
      <c r="G2" s="49" t="s">
        <v>40</v>
      </c>
      <c r="H2" s="49" t="s">
        <v>103</v>
      </c>
      <c r="I2" s="99" t="s">
        <v>39</v>
      </c>
    </row>
    <row r="3" spans="1:9" ht="15.6" customHeight="1" x14ac:dyDescent="0.2">
      <c r="A3" s="100" t="s">
        <v>12</v>
      </c>
      <c r="B3" s="37" t="s">
        <v>104</v>
      </c>
      <c r="C3" s="37" t="s">
        <v>105</v>
      </c>
      <c r="D3" s="37" t="s">
        <v>106</v>
      </c>
      <c r="E3" s="37" t="s">
        <v>106</v>
      </c>
      <c r="F3" s="37" t="s">
        <v>107</v>
      </c>
      <c r="G3" s="37" t="s">
        <v>106</v>
      </c>
      <c r="H3" s="37"/>
      <c r="I3" s="37" t="s">
        <v>108</v>
      </c>
    </row>
    <row r="4" spans="1:9" ht="14.25" x14ac:dyDescent="0.2">
      <c r="A4" s="28"/>
      <c r="B4" s="101" t="s">
        <v>134</v>
      </c>
      <c r="C4" s="102"/>
      <c r="D4" s="102"/>
      <c r="E4" s="102"/>
      <c r="F4" s="102"/>
      <c r="G4" s="102"/>
      <c r="H4" s="102"/>
      <c r="I4" s="102"/>
    </row>
    <row r="5" spans="1:9" ht="14.25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ht="14.25" x14ac:dyDescent="0.2">
      <c r="A6" s="28" t="s">
        <v>43</v>
      </c>
      <c r="B6" s="89">
        <v>53.2</v>
      </c>
      <c r="C6" s="89">
        <v>54.5</v>
      </c>
      <c r="D6" s="89">
        <v>86.12</v>
      </c>
      <c r="E6" s="89">
        <v>58.68</v>
      </c>
      <c r="F6" s="89">
        <v>77.239999999999995</v>
      </c>
      <c r="G6" s="89">
        <v>60.76</v>
      </c>
      <c r="H6" s="89">
        <v>51.52</v>
      </c>
      <c r="I6" s="89">
        <v>51.34</v>
      </c>
    </row>
    <row r="7" spans="1:9" ht="14.25" x14ac:dyDescent="0.2">
      <c r="A7" s="28" t="s">
        <v>54</v>
      </c>
      <c r="B7" s="89">
        <v>51.9</v>
      </c>
      <c r="C7" s="89">
        <v>53.22</v>
      </c>
      <c r="D7" s="89">
        <v>83.2</v>
      </c>
      <c r="E7" s="89">
        <v>57.19</v>
      </c>
      <c r="F7" s="89">
        <v>100.15</v>
      </c>
      <c r="G7" s="89">
        <v>56.09</v>
      </c>
      <c r="H7" s="89">
        <v>48.11</v>
      </c>
      <c r="I7" s="89">
        <v>50.33</v>
      </c>
    </row>
    <row r="8" spans="1:9" ht="14.25" x14ac:dyDescent="0.2">
      <c r="A8" s="28" t="s">
        <v>69</v>
      </c>
      <c r="B8" s="89">
        <v>47.13</v>
      </c>
      <c r="C8" s="89">
        <v>48.6</v>
      </c>
      <c r="D8" s="89">
        <v>65.87</v>
      </c>
      <c r="E8" s="89">
        <v>56.17</v>
      </c>
      <c r="F8" s="89">
        <v>91.83</v>
      </c>
      <c r="G8" s="89">
        <v>46.66</v>
      </c>
      <c r="H8" s="89">
        <v>51.8</v>
      </c>
      <c r="I8" s="89">
        <v>43.24</v>
      </c>
    </row>
    <row r="9" spans="1:9" ht="14.25" x14ac:dyDescent="0.2">
      <c r="A9" s="28" t="s">
        <v>75</v>
      </c>
      <c r="B9" s="89">
        <v>38.229999999999997</v>
      </c>
      <c r="C9" s="89">
        <v>60.66</v>
      </c>
      <c r="D9" s="89">
        <v>59.12</v>
      </c>
      <c r="E9" s="89">
        <v>43.7</v>
      </c>
      <c r="F9" s="89">
        <v>68.23</v>
      </c>
      <c r="G9" s="89">
        <v>39.43</v>
      </c>
      <c r="H9" s="89">
        <v>43.93</v>
      </c>
      <c r="I9" s="89">
        <v>39.76</v>
      </c>
    </row>
    <row r="10" spans="1:9" ht="14.25" x14ac:dyDescent="0.2">
      <c r="A10" s="28" t="s">
        <v>77</v>
      </c>
      <c r="B10" s="89">
        <v>31.6</v>
      </c>
      <c r="C10" s="89">
        <v>45.74</v>
      </c>
      <c r="D10" s="89">
        <v>66.72</v>
      </c>
      <c r="E10" s="89">
        <v>37.81</v>
      </c>
      <c r="F10" s="89">
        <v>57.96</v>
      </c>
      <c r="G10" s="89">
        <v>37.479999999999997</v>
      </c>
      <c r="H10" s="89">
        <v>33.43</v>
      </c>
      <c r="I10" s="89">
        <v>31.36</v>
      </c>
    </row>
    <row r="11" spans="1:9" ht="14.25" x14ac:dyDescent="0.2">
      <c r="A11" s="28" t="s">
        <v>78</v>
      </c>
      <c r="B11" s="89">
        <v>29.86</v>
      </c>
      <c r="C11" s="89">
        <v>45.87</v>
      </c>
      <c r="D11" s="89">
        <v>57.81</v>
      </c>
      <c r="E11" s="89">
        <v>35.270000000000003</v>
      </c>
      <c r="F11" s="89">
        <v>58.26</v>
      </c>
      <c r="G11" s="89">
        <v>39.25</v>
      </c>
      <c r="H11" s="89">
        <v>32.229999999999997</v>
      </c>
      <c r="I11" s="89">
        <v>30.07</v>
      </c>
    </row>
    <row r="12" spans="1:9" ht="14.25" x14ac:dyDescent="0.2">
      <c r="A12" s="28" t="s">
        <v>90</v>
      </c>
      <c r="B12" s="89">
        <v>32.549999999999997</v>
      </c>
      <c r="C12" s="89">
        <v>40.92</v>
      </c>
      <c r="D12" s="89">
        <v>53.54</v>
      </c>
      <c r="E12" s="89">
        <v>38.729999999999997</v>
      </c>
      <c r="F12" s="89">
        <v>66.73</v>
      </c>
      <c r="G12" s="89">
        <v>37.43</v>
      </c>
      <c r="H12" s="89">
        <v>33.07</v>
      </c>
      <c r="I12" s="89">
        <v>34.75</v>
      </c>
    </row>
    <row r="13" spans="1:9" ht="14.25" x14ac:dyDescent="0.2">
      <c r="A13" s="28" t="s">
        <v>91</v>
      </c>
      <c r="B13" s="89">
        <v>30.04</v>
      </c>
      <c r="C13" s="89">
        <v>31.87</v>
      </c>
      <c r="D13" s="89">
        <v>54.57</v>
      </c>
      <c r="E13" s="89">
        <v>38.270000000000003</v>
      </c>
      <c r="F13" s="89">
        <v>66.72</v>
      </c>
      <c r="G13" s="89">
        <v>30.35</v>
      </c>
      <c r="H13" s="89">
        <v>34.159999999999997</v>
      </c>
      <c r="I13" s="89">
        <v>31.21</v>
      </c>
    </row>
    <row r="14" spans="1:9" ht="14.25" x14ac:dyDescent="0.2">
      <c r="A14" s="28" t="s">
        <v>115</v>
      </c>
      <c r="B14" s="89">
        <v>28.26</v>
      </c>
      <c r="C14" s="89">
        <v>35.14</v>
      </c>
      <c r="D14" s="89">
        <v>53.28</v>
      </c>
      <c r="E14" s="89">
        <v>36.090000000000003</v>
      </c>
      <c r="F14" s="89">
        <v>64.72</v>
      </c>
      <c r="G14" s="89">
        <v>26.93</v>
      </c>
      <c r="H14" s="89">
        <v>31.65</v>
      </c>
      <c r="I14" s="89">
        <v>33.11</v>
      </c>
    </row>
    <row r="15" spans="1:9" ht="14.25" x14ac:dyDescent="0.2">
      <c r="A15" s="28" t="s">
        <v>117</v>
      </c>
      <c r="B15" s="89">
        <v>29.67</v>
      </c>
      <c r="C15" s="89">
        <v>40.18</v>
      </c>
      <c r="D15" s="89">
        <v>65.03</v>
      </c>
      <c r="E15" s="89">
        <v>37.869999999999997</v>
      </c>
      <c r="F15" s="89">
        <v>62</v>
      </c>
      <c r="G15" s="89">
        <v>39.47</v>
      </c>
      <c r="H15" s="89">
        <v>35.75</v>
      </c>
      <c r="I15" s="89">
        <v>38.369999999999997</v>
      </c>
    </row>
    <row r="16" spans="1:9" ht="16.5" x14ac:dyDescent="0.2">
      <c r="A16" s="28" t="s">
        <v>120</v>
      </c>
      <c r="B16" s="89">
        <v>57.250000000000014</v>
      </c>
      <c r="C16" s="89">
        <v>80</v>
      </c>
      <c r="D16" s="89">
        <v>79.000000000000014</v>
      </c>
      <c r="E16" s="89">
        <v>71</v>
      </c>
      <c r="F16" s="89">
        <v>107.25000000000001</v>
      </c>
      <c r="G16" s="89">
        <v>44</v>
      </c>
      <c r="H16" s="89">
        <v>43.5</v>
      </c>
      <c r="I16" s="89">
        <v>39</v>
      </c>
    </row>
    <row r="17" spans="1:20" ht="16.5" x14ac:dyDescent="0.2">
      <c r="A17" s="28" t="s">
        <v>152</v>
      </c>
      <c r="B17" s="89">
        <v>65</v>
      </c>
      <c r="C17" s="89">
        <v>80</v>
      </c>
      <c r="D17" s="89">
        <v>80</v>
      </c>
      <c r="E17" s="89">
        <v>75</v>
      </c>
      <c r="F17" s="89">
        <v>120</v>
      </c>
      <c r="G17" s="89">
        <v>78</v>
      </c>
      <c r="H17" s="89">
        <v>56</v>
      </c>
      <c r="I17" s="89">
        <v>58</v>
      </c>
    </row>
    <row r="18" spans="1:20" ht="14.25" x14ac:dyDescent="0.2">
      <c r="A18" s="28"/>
      <c r="B18" s="47"/>
      <c r="C18" s="91"/>
      <c r="D18" s="103"/>
      <c r="E18" s="103"/>
      <c r="F18" s="103"/>
      <c r="G18" s="103"/>
      <c r="H18" s="28"/>
      <c r="I18" s="28"/>
    </row>
    <row r="19" spans="1:20" ht="15" x14ac:dyDescent="0.25">
      <c r="A19" s="50" t="s">
        <v>117</v>
      </c>
      <c r="B19" s="89"/>
      <c r="C19" s="89"/>
      <c r="D19" s="89"/>
      <c r="E19" s="89"/>
      <c r="F19" s="89"/>
      <c r="G19" s="89"/>
      <c r="H19" s="89"/>
      <c r="I19" s="89"/>
    </row>
    <row r="20" spans="1:20" ht="14.25" x14ac:dyDescent="0.2">
      <c r="A20" s="32" t="s">
        <v>45</v>
      </c>
      <c r="B20" s="89">
        <v>30.14</v>
      </c>
      <c r="C20" s="89">
        <v>37.94</v>
      </c>
      <c r="D20" s="89">
        <v>56</v>
      </c>
      <c r="E20" s="89">
        <v>36.31</v>
      </c>
      <c r="F20" s="89">
        <v>61.5</v>
      </c>
      <c r="G20" s="89">
        <v>28.3</v>
      </c>
      <c r="H20" s="89" t="s">
        <v>10</v>
      </c>
      <c r="I20" s="89" t="s">
        <v>10</v>
      </c>
    </row>
    <row r="21" spans="1:20" ht="14.25" x14ac:dyDescent="0.2">
      <c r="A21" s="32" t="s">
        <v>46</v>
      </c>
      <c r="B21" s="89">
        <v>30.62</v>
      </c>
      <c r="C21" s="89">
        <v>38.4</v>
      </c>
      <c r="D21" s="89">
        <v>56</v>
      </c>
      <c r="E21" s="89">
        <v>36.15</v>
      </c>
      <c r="F21" s="89">
        <v>63.1</v>
      </c>
      <c r="G21" s="89">
        <v>30.36</v>
      </c>
      <c r="H21" s="89" t="s">
        <v>10</v>
      </c>
      <c r="I21" s="89">
        <v>35</v>
      </c>
    </row>
    <row r="22" spans="1:20" ht="14.25" x14ac:dyDescent="0.2">
      <c r="A22" s="32" t="s">
        <v>47</v>
      </c>
      <c r="B22" s="89">
        <v>32.270000000000003</v>
      </c>
      <c r="C22" s="89">
        <v>40.25</v>
      </c>
      <c r="D22" s="89">
        <v>76</v>
      </c>
      <c r="E22" s="89">
        <v>38.06</v>
      </c>
      <c r="F22" s="89">
        <v>60.13</v>
      </c>
      <c r="G22" s="89">
        <v>31.25</v>
      </c>
      <c r="H22" s="89" t="s">
        <v>10</v>
      </c>
      <c r="I22" s="89" t="s">
        <v>10</v>
      </c>
    </row>
    <row r="23" spans="1:20" ht="14.25" x14ac:dyDescent="0.2">
      <c r="A23" s="32" t="s">
        <v>48</v>
      </c>
      <c r="B23" s="89">
        <v>33.04</v>
      </c>
      <c r="C23" s="89">
        <v>40.1</v>
      </c>
      <c r="D23" s="89">
        <v>70</v>
      </c>
      <c r="E23" s="89">
        <v>37.9</v>
      </c>
      <c r="F23" s="89">
        <v>59</v>
      </c>
      <c r="G23" s="89">
        <v>33.299999999999997</v>
      </c>
      <c r="H23" s="89" t="s">
        <v>10</v>
      </c>
      <c r="I23" s="89">
        <v>36.14</v>
      </c>
    </row>
    <row r="24" spans="1:20" ht="14.25" x14ac:dyDescent="0.2">
      <c r="A24" s="32" t="s">
        <v>49</v>
      </c>
      <c r="B24" s="89">
        <v>30.26</v>
      </c>
      <c r="C24" s="89">
        <v>38.5</v>
      </c>
      <c r="D24" s="89">
        <v>70</v>
      </c>
      <c r="E24" s="89">
        <v>35.5</v>
      </c>
      <c r="F24" s="89">
        <v>59</v>
      </c>
      <c r="G24" s="89">
        <v>36</v>
      </c>
      <c r="H24" s="89" t="s">
        <v>10</v>
      </c>
      <c r="I24" s="89">
        <v>38.21</v>
      </c>
    </row>
    <row r="25" spans="1:20" ht="14.25" x14ac:dyDescent="0.2">
      <c r="A25" s="32" t="s">
        <v>50</v>
      </c>
      <c r="B25" s="89">
        <v>27.04</v>
      </c>
      <c r="C25" s="89">
        <v>36.19</v>
      </c>
      <c r="D25" s="89">
        <v>76</v>
      </c>
      <c r="E25" s="89">
        <v>32.880000000000003</v>
      </c>
      <c r="F25" s="89">
        <v>59.75</v>
      </c>
      <c r="G25" s="89">
        <v>36.94</v>
      </c>
      <c r="H25" s="89" t="s">
        <v>10</v>
      </c>
      <c r="I25" s="89">
        <v>35.5</v>
      </c>
      <c r="N25" s="104"/>
      <c r="O25" s="104"/>
      <c r="P25" s="104"/>
      <c r="Q25" s="104"/>
      <c r="R25" s="104"/>
      <c r="S25" s="104"/>
      <c r="T25" s="104"/>
    </row>
    <row r="26" spans="1:20" ht="14.25" x14ac:dyDescent="0.2">
      <c r="A26" s="32" t="s">
        <v>51</v>
      </c>
      <c r="B26" s="89">
        <v>25.69</v>
      </c>
      <c r="C26" s="89">
        <v>37.31</v>
      </c>
      <c r="D26" s="89">
        <v>76</v>
      </c>
      <c r="E26" s="89">
        <v>32.380000000000003</v>
      </c>
      <c r="F26" s="89">
        <v>59.5</v>
      </c>
      <c r="G26" s="89">
        <v>44.88</v>
      </c>
      <c r="H26" s="89">
        <v>32</v>
      </c>
      <c r="I26" s="89">
        <v>37.18</v>
      </c>
    </row>
    <row r="27" spans="1:20" ht="14.25" x14ac:dyDescent="0.2">
      <c r="A27" s="32" t="s">
        <v>52</v>
      </c>
      <c r="B27" s="89">
        <v>25.27</v>
      </c>
      <c r="C27" s="89">
        <v>37.200000000000003</v>
      </c>
      <c r="D27" s="89">
        <v>74</v>
      </c>
      <c r="E27" s="89">
        <v>32.4</v>
      </c>
      <c r="F27" s="89">
        <v>62.1</v>
      </c>
      <c r="G27" s="89">
        <v>47.64</v>
      </c>
      <c r="H27" s="89">
        <v>35.5</v>
      </c>
      <c r="I27" s="89">
        <v>43.95</v>
      </c>
    </row>
    <row r="28" spans="1:20" ht="14.25" x14ac:dyDescent="0.2">
      <c r="A28" s="32" t="s">
        <v>53</v>
      </c>
      <c r="B28" s="89">
        <v>26.61</v>
      </c>
      <c r="C28" s="89">
        <v>36.75</v>
      </c>
      <c r="D28" s="89">
        <v>56</v>
      </c>
      <c r="E28" s="89">
        <v>36.630000000000003</v>
      </c>
      <c r="F28" s="89">
        <v>84.75</v>
      </c>
      <c r="G28" s="89">
        <v>51.34</v>
      </c>
      <c r="H28" s="89">
        <v>36.5</v>
      </c>
      <c r="I28" s="89">
        <v>41.92</v>
      </c>
    </row>
    <row r="29" spans="1:20" ht="14.25" x14ac:dyDescent="0.2">
      <c r="A29" s="32" t="s">
        <v>55</v>
      </c>
      <c r="B29" s="89">
        <v>28.71</v>
      </c>
      <c r="C29" s="89">
        <v>43</v>
      </c>
      <c r="D29" s="89">
        <v>56.4</v>
      </c>
      <c r="E29" s="89">
        <v>40.5</v>
      </c>
      <c r="F29" s="89">
        <v>85</v>
      </c>
      <c r="G29" s="89">
        <v>45.45</v>
      </c>
      <c r="H29" s="89" t="s">
        <v>10</v>
      </c>
      <c r="I29" s="89">
        <v>39.43</v>
      </c>
    </row>
    <row r="30" spans="1:20" ht="14.25" x14ac:dyDescent="0.2">
      <c r="A30" s="32" t="s">
        <v>56</v>
      </c>
      <c r="B30" s="89">
        <v>32.130000000000003</v>
      </c>
      <c r="C30" s="89">
        <v>46.81</v>
      </c>
      <c r="D30" s="89">
        <v>57</v>
      </c>
      <c r="E30" s="89">
        <v>47.81</v>
      </c>
      <c r="F30" s="89">
        <v>90</v>
      </c>
      <c r="G30" s="89">
        <v>44.75</v>
      </c>
      <c r="H30" s="89">
        <v>39</v>
      </c>
      <c r="I30" s="89">
        <v>39.33</v>
      </c>
    </row>
    <row r="31" spans="1:20" ht="14.25" x14ac:dyDescent="0.2">
      <c r="A31" s="32" t="s">
        <v>58</v>
      </c>
      <c r="B31" s="89">
        <v>34.200000000000003</v>
      </c>
      <c r="C31" s="89">
        <v>49.69</v>
      </c>
      <c r="D31" s="89">
        <v>57</v>
      </c>
      <c r="E31" s="89">
        <v>47.94</v>
      </c>
      <c r="F31" s="89">
        <v>90</v>
      </c>
      <c r="G31" s="89">
        <v>43.38</v>
      </c>
      <c r="H31" s="89" t="s">
        <v>10</v>
      </c>
      <c r="I31" s="89">
        <v>37</v>
      </c>
    </row>
    <row r="32" spans="1:20" ht="14.25" x14ac:dyDescent="0.2">
      <c r="A32" s="32"/>
      <c r="B32" s="89"/>
      <c r="C32" s="89"/>
      <c r="D32" s="89"/>
      <c r="E32" s="89"/>
      <c r="F32" s="89"/>
      <c r="G32" s="89"/>
      <c r="H32" s="89"/>
      <c r="I32" s="89"/>
    </row>
    <row r="33" spans="1:10" ht="15" x14ac:dyDescent="0.25">
      <c r="A33" s="50" t="s">
        <v>125</v>
      </c>
      <c r="B33" s="89"/>
      <c r="C33" s="89"/>
      <c r="D33" s="89"/>
      <c r="E33" s="89"/>
      <c r="F33" s="89"/>
      <c r="G33" s="89"/>
      <c r="H33" s="89"/>
      <c r="I33" s="89"/>
    </row>
    <row r="34" spans="1:10" ht="14.25" x14ac:dyDescent="0.2">
      <c r="A34" s="32" t="s">
        <v>45</v>
      </c>
      <c r="B34" s="89">
        <v>33.909999999999997</v>
      </c>
      <c r="C34" s="89">
        <v>48.35</v>
      </c>
      <c r="D34" s="89">
        <v>57</v>
      </c>
      <c r="E34" s="89">
        <v>44.35</v>
      </c>
      <c r="F34" s="89">
        <v>93</v>
      </c>
      <c r="G34" s="89">
        <v>42.4375</v>
      </c>
      <c r="H34" s="89" t="s">
        <v>10</v>
      </c>
      <c r="I34" s="89">
        <v>34.5</v>
      </c>
    </row>
    <row r="35" spans="1:10" ht="14.25" x14ac:dyDescent="0.2">
      <c r="A35" s="32" t="s">
        <v>46</v>
      </c>
      <c r="B35" s="89">
        <v>37.79</v>
      </c>
      <c r="C35" s="89">
        <v>54.4375</v>
      </c>
      <c r="D35" s="89" t="s">
        <v>10</v>
      </c>
      <c r="E35" s="89">
        <v>49.5</v>
      </c>
      <c r="F35" s="89">
        <v>98.75</v>
      </c>
      <c r="G35" s="89">
        <v>42.524999999999999</v>
      </c>
      <c r="H35" s="89">
        <v>41</v>
      </c>
      <c r="I35" s="89">
        <v>34</v>
      </c>
    </row>
    <row r="36" spans="1:10" ht="14.25" x14ac:dyDescent="0.2">
      <c r="A36" s="32" t="s">
        <v>47</v>
      </c>
      <c r="B36" s="89">
        <v>40.85</v>
      </c>
      <c r="C36" s="89">
        <v>59.2</v>
      </c>
      <c r="D36" s="89" t="s">
        <v>10</v>
      </c>
      <c r="E36" s="89">
        <v>51.65</v>
      </c>
      <c r="F36" s="89">
        <v>100</v>
      </c>
      <c r="G36" s="89">
        <v>41.725000000000001</v>
      </c>
      <c r="H36" s="89" t="s">
        <v>10</v>
      </c>
      <c r="I36" s="89">
        <v>36.25</v>
      </c>
    </row>
    <row r="37" spans="1:10" ht="14.25" x14ac:dyDescent="0.2">
      <c r="A37" s="32" t="s">
        <v>48</v>
      </c>
      <c r="B37" s="89">
        <v>44.31</v>
      </c>
      <c r="C37" s="89">
        <v>63.1875</v>
      </c>
      <c r="D37" s="89" t="s">
        <v>10</v>
      </c>
      <c r="E37" s="89">
        <v>53.3125</v>
      </c>
      <c r="F37" s="89">
        <v>90</v>
      </c>
      <c r="G37" s="89">
        <v>43.337499999999999</v>
      </c>
      <c r="H37" s="89" t="s">
        <v>10</v>
      </c>
      <c r="I37" s="89">
        <v>48.129999999999995</v>
      </c>
    </row>
    <row r="38" spans="1:10" ht="14.25" x14ac:dyDescent="0.2">
      <c r="A38" s="32" t="s">
        <v>49</v>
      </c>
      <c r="B38" s="89">
        <v>48.37</v>
      </c>
      <c r="C38" s="89">
        <v>73.625</v>
      </c>
      <c r="D38" s="89" t="s">
        <v>10</v>
      </c>
      <c r="E38" s="89">
        <v>58.9375</v>
      </c>
      <c r="F38" s="89">
        <v>93</v>
      </c>
      <c r="G38" s="89">
        <v>44.945</v>
      </c>
      <c r="H38" s="89" t="s">
        <v>10</v>
      </c>
      <c r="I38" s="89">
        <v>53.125</v>
      </c>
    </row>
    <row r="39" spans="1:10" ht="14.25" x14ac:dyDescent="0.2">
      <c r="A39" s="32" t="s">
        <v>50</v>
      </c>
      <c r="B39" s="89">
        <v>54</v>
      </c>
      <c r="C39" s="89">
        <v>86.9375</v>
      </c>
      <c r="D39" s="89" t="s">
        <v>10</v>
      </c>
      <c r="E39" s="89">
        <v>71.3125</v>
      </c>
      <c r="F39" s="89">
        <v>105.25</v>
      </c>
      <c r="G39" s="89">
        <v>52.05</v>
      </c>
      <c r="H39" s="89">
        <v>55</v>
      </c>
      <c r="I39" s="89">
        <v>55.943333333333328</v>
      </c>
    </row>
    <row r="40" spans="1:10" ht="14.25" x14ac:dyDescent="0.2">
      <c r="A40" s="32" t="s">
        <v>51</v>
      </c>
      <c r="B40" s="89">
        <v>62.88</v>
      </c>
      <c r="C40" s="105">
        <v>92.65</v>
      </c>
      <c r="D40" s="89">
        <v>83</v>
      </c>
      <c r="E40" s="89">
        <v>79.55</v>
      </c>
      <c r="F40" s="89">
        <v>109.2</v>
      </c>
      <c r="G40" s="89">
        <v>59.8125</v>
      </c>
      <c r="H40" s="89" t="s">
        <v>10</v>
      </c>
      <c r="I40" s="89">
        <v>59.3825</v>
      </c>
    </row>
    <row r="41" spans="1:10" ht="14.25" x14ac:dyDescent="0.2">
      <c r="A41" s="32" t="s">
        <v>52</v>
      </c>
      <c r="B41" s="89">
        <v>74.75</v>
      </c>
      <c r="C41" s="105">
        <v>102.1875</v>
      </c>
      <c r="D41" s="89">
        <v>83</v>
      </c>
      <c r="E41" s="89">
        <v>94.0625</v>
      </c>
      <c r="F41" s="89">
        <v>110</v>
      </c>
      <c r="G41" s="89">
        <v>68.25</v>
      </c>
      <c r="H41" s="89">
        <v>58</v>
      </c>
      <c r="I41" s="89">
        <v>64.724999999999994</v>
      </c>
      <c r="J41" s="108"/>
    </row>
    <row r="42" spans="1:10" ht="14.25" x14ac:dyDescent="0.2">
      <c r="A42" s="32" t="s">
        <v>53</v>
      </c>
      <c r="B42" s="105">
        <v>74.75</v>
      </c>
      <c r="C42" s="105">
        <v>100.6875</v>
      </c>
      <c r="D42" s="89" t="s">
        <v>10</v>
      </c>
      <c r="E42" s="89">
        <v>93.5</v>
      </c>
      <c r="F42" s="89">
        <v>108.1875</v>
      </c>
      <c r="G42" s="89">
        <v>67.599999999999994</v>
      </c>
      <c r="H42" s="89" t="s">
        <v>10</v>
      </c>
      <c r="I42" s="89">
        <v>63.666666666666664</v>
      </c>
    </row>
    <row r="43" spans="1:10" ht="14.25" x14ac:dyDescent="0.2">
      <c r="A43" s="32" t="s">
        <v>55</v>
      </c>
      <c r="B43" s="105">
        <v>72.930000000000007</v>
      </c>
      <c r="C43" s="105">
        <v>99.9</v>
      </c>
      <c r="D43" s="89" t="s">
        <v>10</v>
      </c>
      <c r="E43" s="89">
        <v>92.3</v>
      </c>
      <c r="F43" s="89">
        <v>106</v>
      </c>
      <c r="G43" s="89">
        <v>66.094999999999999</v>
      </c>
      <c r="H43" s="89" t="s">
        <v>10</v>
      </c>
      <c r="I43" s="89">
        <v>66.333333333333329</v>
      </c>
    </row>
    <row r="44" spans="1:10" ht="14.25" x14ac:dyDescent="0.2">
      <c r="A44" s="26" t="s">
        <v>56</v>
      </c>
      <c r="B44" s="23">
        <v>70.010000000000005</v>
      </c>
      <c r="C44" s="23">
        <v>96.5</v>
      </c>
      <c r="D44" s="24" t="s">
        <v>10</v>
      </c>
      <c r="E44" s="24">
        <v>81</v>
      </c>
      <c r="F44" s="24">
        <v>108.75</v>
      </c>
      <c r="G44" s="24">
        <v>64.156000000000006</v>
      </c>
      <c r="H44" s="24">
        <v>72.333333333333329</v>
      </c>
      <c r="I44" s="24">
        <v>72</v>
      </c>
    </row>
    <row r="45" spans="1:10" ht="16.5" x14ac:dyDescent="0.2">
      <c r="A45" s="79" t="s">
        <v>161</v>
      </c>
      <c r="B45" s="106"/>
      <c r="C45" s="106"/>
      <c r="D45" s="106"/>
      <c r="E45" s="106"/>
      <c r="F45" s="106"/>
      <c r="G45" s="106"/>
      <c r="H45" s="106"/>
      <c r="I45" s="106"/>
    </row>
    <row r="46" spans="1:10" ht="16.5" x14ac:dyDescent="0.2">
      <c r="A46" s="28" t="s">
        <v>147</v>
      </c>
      <c r="B46" s="106"/>
      <c r="C46" s="106"/>
      <c r="D46" s="106"/>
      <c r="E46" s="106"/>
      <c r="F46" s="106"/>
      <c r="G46" s="106"/>
      <c r="H46" s="106"/>
      <c r="I46" s="106"/>
    </row>
    <row r="47" spans="1:10" ht="14.25" x14ac:dyDescent="0.2">
      <c r="A47" s="28" t="s">
        <v>163</v>
      </c>
      <c r="B47" s="28"/>
      <c r="C47" s="28"/>
      <c r="D47" s="28"/>
      <c r="E47" s="28"/>
      <c r="F47" s="106"/>
      <c r="G47" s="28"/>
      <c r="H47" s="28"/>
      <c r="I47" s="28"/>
    </row>
    <row r="48" spans="1:10" ht="14.25" x14ac:dyDescent="0.2">
      <c r="A48" s="34" t="s">
        <v>18</v>
      </c>
      <c r="B48" s="68">
        <f ca="1">NOW()</f>
        <v>44452.456168171295</v>
      </c>
      <c r="C48" s="28"/>
      <c r="D48" s="28"/>
      <c r="E48" s="28"/>
      <c r="F48" s="28"/>
      <c r="G48" s="28"/>
      <c r="H48" s="28"/>
      <c r="I48" s="28"/>
    </row>
    <row r="49" spans="2:9" ht="15.75" x14ac:dyDescent="0.25">
      <c r="C49" s="107"/>
      <c r="G49" s="107"/>
      <c r="H49" s="107"/>
      <c r="I49" s="107"/>
    </row>
    <row r="50" spans="2:9" ht="15.75" x14ac:dyDescent="0.25">
      <c r="B50" s="108"/>
      <c r="C50" s="107"/>
      <c r="G50" s="107"/>
      <c r="H50" s="107"/>
      <c r="I50" s="107"/>
    </row>
    <row r="51" spans="2:9" ht="15.75" x14ac:dyDescent="0.25">
      <c r="B51" s="108"/>
      <c r="C51" s="164"/>
      <c r="G51" s="107"/>
      <c r="H51" s="107"/>
      <c r="I51" s="107"/>
    </row>
    <row r="52" spans="2:9" ht="15.75" x14ac:dyDescent="0.25">
      <c r="C52" s="107"/>
      <c r="G52" s="107"/>
      <c r="H52" s="107"/>
      <c r="I52" s="107"/>
    </row>
    <row r="53" spans="2:9" ht="15.75" x14ac:dyDescent="0.25">
      <c r="C53" s="107"/>
      <c r="G53" s="107"/>
      <c r="H53" s="107"/>
      <c r="I53" s="107"/>
    </row>
    <row r="54" spans="2:9" ht="15.75" x14ac:dyDescent="0.25">
      <c r="C54" s="107"/>
      <c r="G54" s="107"/>
      <c r="H54" s="107"/>
      <c r="I54" s="107"/>
    </row>
    <row r="55" spans="2:9" ht="15.75" x14ac:dyDescent="0.25">
      <c r="C55" s="107"/>
      <c r="G55" s="107"/>
      <c r="H55" s="107"/>
      <c r="I55" s="107"/>
    </row>
    <row r="56" spans="2:9" ht="15.75" x14ac:dyDescent="0.25">
      <c r="C56" s="107"/>
      <c r="G56" s="107"/>
      <c r="H56" s="107"/>
      <c r="I56" s="107"/>
    </row>
    <row r="57" spans="2:9" ht="15.75" x14ac:dyDescent="0.25">
      <c r="C57" s="107"/>
      <c r="G57" s="107"/>
      <c r="H57" s="107"/>
      <c r="I57" s="107"/>
    </row>
    <row r="58" spans="2:9" ht="15.75" x14ac:dyDescent="0.25">
      <c r="C58" s="107"/>
      <c r="G58" s="107"/>
      <c r="H58" s="107"/>
      <c r="I58" s="107"/>
    </row>
    <row r="59" spans="2:9" ht="15.75" x14ac:dyDescent="0.25">
      <c r="C59" s="107"/>
      <c r="G59" s="107"/>
      <c r="H59" s="107"/>
      <c r="I59" s="107"/>
    </row>
    <row r="60" spans="2:9" ht="15.75" x14ac:dyDescent="0.25">
      <c r="C60" s="107"/>
      <c r="G60" s="107"/>
      <c r="H60" s="107"/>
      <c r="I60" s="107"/>
    </row>
    <row r="61" spans="2:9" ht="15.75" x14ac:dyDescent="0.25">
      <c r="C61" s="107"/>
      <c r="G61" s="107"/>
      <c r="H61" s="107"/>
      <c r="I61" s="107"/>
    </row>
    <row r="62" spans="2:9" ht="15.75" x14ac:dyDescent="0.25">
      <c r="C62" s="107"/>
      <c r="G62" s="107"/>
      <c r="H62" s="107"/>
      <c r="I62" s="107"/>
    </row>
    <row r="63" spans="2:9" ht="15.75" x14ac:dyDescent="0.25">
      <c r="C63" s="107"/>
      <c r="G63" s="107"/>
      <c r="H63" s="107"/>
      <c r="I63" s="107"/>
    </row>
    <row r="64" spans="2:9" ht="15.75" x14ac:dyDescent="0.25">
      <c r="C64" s="107"/>
      <c r="G64" s="107"/>
      <c r="H64" s="107"/>
      <c r="I64" s="107"/>
    </row>
    <row r="65" spans="3:9" ht="15.75" x14ac:dyDescent="0.25">
      <c r="C65" s="107"/>
      <c r="H65" s="107"/>
      <c r="I65" s="107"/>
    </row>
    <row r="66" spans="3:9" ht="15.75" x14ac:dyDescent="0.25">
      <c r="C66" s="107"/>
      <c r="H66" s="107"/>
      <c r="I66" s="107"/>
    </row>
    <row r="67" spans="3:9" ht="15.75" x14ac:dyDescent="0.25">
      <c r="C67" s="107"/>
      <c r="F67" s="108"/>
      <c r="H67" s="107"/>
      <c r="I67" s="107"/>
    </row>
    <row r="68" spans="3:9" ht="15.75" x14ac:dyDescent="0.25">
      <c r="F68" s="108"/>
      <c r="H68" s="107"/>
      <c r="I68" s="107"/>
    </row>
  </sheetData>
  <phoneticPr fontId="10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60"/>
  <sheetViews>
    <sheetView showGridLines="0" zoomScale="80" zoomScaleNormal="80" workbookViewId="0"/>
  </sheetViews>
  <sheetFormatPr defaultRowHeight="12.75" x14ac:dyDescent="0.2"/>
  <cols>
    <col min="1" max="1" width="11.7109375" style="27" customWidth="1"/>
    <col min="2" max="7" width="13.7109375" style="27" customWidth="1"/>
    <col min="8" max="8" width="10.140625" style="27" bestFit="1" customWidth="1"/>
    <col min="9" max="9" width="9.140625" style="27"/>
    <col min="10" max="10" width="20.28515625" style="27" bestFit="1" customWidth="1"/>
    <col min="11" max="13" width="9.140625" style="27"/>
    <col min="14" max="14" width="8.85546875" style="27" customWidth="1"/>
    <col min="15" max="15" width="18" style="27" bestFit="1" customWidth="1"/>
    <col min="16" max="16384" width="9.140625" style="27"/>
  </cols>
  <sheetData>
    <row r="1" spans="1:31" ht="14.25" x14ac:dyDescent="0.2">
      <c r="A1" s="26" t="s">
        <v>144</v>
      </c>
      <c r="B1" s="26"/>
      <c r="C1" s="26"/>
      <c r="D1" s="26"/>
      <c r="E1" s="26"/>
      <c r="F1" s="26"/>
      <c r="G1" s="26"/>
    </row>
    <row r="2" spans="1:31" ht="15.6" customHeight="1" x14ac:dyDescent="0.2">
      <c r="A2" s="32" t="s">
        <v>11</v>
      </c>
      <c r="B2" s="49" t="s">
        <v>35</v>
      </c>
      <c r="C2" s="109" t="s">
        <v>13</v>
      </c>
      <c r="D2" s="109" t="s">
        <v>68</v>
      </c>
      <c r="E2" s="109" t="s">
        <v>36</v>
      </c>
      <c r="F2" s="49" t="s">
        <v>37</v>
      </c>
      <c r="G2" s="30" t="s">
        <v>38</v>
      </c>
      <c r="AE2" s="110"/>
    </row>
    <row r="3" spans="1:31" ht="15.6" customHeight="1" x14ac:dyDescent="0.2">
      <c r="A3" s="26" t="s">
        <v>12</v>
      </c>
      <c r="B3" s="37" t="s">
        <v>109</v>
      </c>
      <c r="C3" s="37" t="s">
        <v>110</v>
      </c>
      <c r="D3" s="37" t="s">
        <v>111</v>
      </c>
      <c r="E3" s="37" t="s">
        <v>112</v>
      </c>
      <c r="F3" s="37" t="s">
        <v>113</v>
      </c>
      <c r="G3" s="37" t="s">
        <v>114</v>
      </c>
      <c r="AE3" s="110"/>
    </row>
    <row r="4" spans="1:31" ht="14.25" x14ac:dyDescent="0.2">
      <c r="A4" s="28"/>
      <c r="B4" s="101" t="s">
        <v>135</v>
      </c>
      <c r="C4" s="102"/>
      <c r="D4" s="102"/>
      <c r="E4" s="102"/>
      <c r="F4" s="102"/>
      <c r="G4" s="102"/>
      <c r="AE4" s="110"/>
    </row>
    <row r="5" spans="1:31" ht="14.25" x14ac:dyDescent="0.2">
      <c r="A5" s="28"/>
      <c r="B5" s="28"/>
      <c r="C5" s="28"/>
      <c r="D5" s="28"/>
      <c r="E5" s="28"/>
      <c r="F5" s="28"/>
      <c r="G5" s="28"/>
      <c r="AE5" s="110"/>
    </row>
    <row r="6" spans="1:31" ht="14.25" x14ac:dyDescent="0.2">
      <c r="A6" s="28" t="s">
        <v>43</v>
      </c>
      <c r="B6" s="89">
        <v>345.52</v>
      </c>
      <c r="C6" s="89">
        <v>273.83999999999997</v>
      </c>
      <c r="D6" s="89">
        <v>219.72</v>
      </c>
      <c r="E6" s="111" t="s">
        <v>10</v>
      </c>
      <c r="F6" s="89">
        <v>263.63</v>
      </c>
      <c r="G6" s="89">
        <v>240.65</v>
      </c>
      <c r="AE6" s="110"/>
    </row>
    <row r="7" spans="1:31" ht="14.25" x14ac:dyDescent="0.2">
      <c r="A7" s="28" t="s">
        <v>54</v>
      </c>
      <c r="B7" s="89">
        <v>393.53</v>
      </c>
      <c r="C7" s="89">
        <v>275.13</v>
      </c>
      <c r="D7" s="89">
        <v>246.75</v>
      </c>
      <c r="E7" s="111" t="s">
        <v>10</v>
      </c>
      <c r="F7" s="89">
        <v>307.58999999999997</v>
      </c>
      <c r="G7" s="89">
        <v>265.68</v>
      </c>
      <c r="AE7" s="110"/>
    </row>
    <row r="8" spans="1:31" ht="14.25" x14ac:dyDescent="0.2">
      <c r="A8" s="28" t="s">
        <v>69</v>
      </c>
      <c r="B8" s="89">
        <v>468.11</v>
      </c>
      <c r="C8" s="89">
        <v>331.52</v>
      </c>
      <c r="D8" s="89">
        <v>241.57</v>
      </c>
      <c r="E8" s="111" t="s">
        <v>10</v>
      </c>
      <c r="F8" s="89">
        <v>354.22</v>
      </c>
      <c r="G8" s="89">
        <v>329.31</v>
      </c>
      <c r="AE8" s="110"/>
    </row>
    <row r="9" spans="1:31" ht="14.25" x14ac:dyDescent="0.2">
      <c r="A9" s="28" t="s">
        <v>75</v>
      </c>
      <c r="B9" s="89">
        <v>489.94</v>
      </c>
      <c r="C9" s="89">
        <v>377.71</v>
      </c>
      <c r="D9" s="89">
        <v>238.87</v>
      </c>
      <c r="E9" s="111" t="s">
        <v>10</v>
      </c>
      <c r="F9" s="89">
        <v>359.7</v>
      </c>
      <c r="G9" s="89">
        <v>337.23</v>
      </c>
      <c r="AE9" s="110"/>
    </row>
    <row r="10" spans="1:31" ht="14.25" x14ac:dyDescent="0.2">
      <c r="A10" s="28" t="s">
        <v>77</v>
      </c>
      <c r="B10" s="89">
        <v>368.49</v>
      </c>
      <c r="C10" s="89">
        <v>304.27</v>
      </c>
      <c r="D10" s="89">
        <v>209.97</v>
      </c>
      <c r="E10" s="111" t="s">
        <v>10</v>
      </c>
      <c r="F10" s="89">
        <v>301.2</v>
      </c>
      <c r="G10" s="89">
        <v>256.58</v>
      </c>
      <c r="AE10" s="110"/>
    </row>
    <row r="11" spans="1:31" ht="14.25" x14ac:dyDescent="0.2">
      <c r="A11" s="28" t="s">
        <v>78</v>
      </c>
      <c r="B11" s="89">
        <v>324.56</v>
      </c>
      <c r="C11" s="89">
        <v>261.19</v>
      </c>
      <c r="D11" s="89">
        <v>153.16999999999999</v>
      </c>
      <c r="E11" s="111" t="s">
        <v>10</v>
      </c>
      <c r="F11" s="89">
        <v>262.2</v>
      </c>
      <c r="G11" s="89">
        <v>260.23</v>
      </c>
      <c r="AE11" s="110"/>
    </row>
    <row r="12" spans="1:31" ht="14.25" x14ac:dyDescent="0.2">
      <c r="A12" s="28" t="s">
        <v>90</v>
      </c>
      <c r="B12" s="89">
        <v>316.88</v>
      </c>
      <c r="C12" s="89">
        <v>208.61</v>
      </c>
      <c r="D12" s="89">
        <v>145.1</v>
      </c>
      <c r="E12" s="111" t="s">
        <v>10</v>
      </c>
      <c r="F12" s="89">
        <v>267.94</v>
      </c>
      <c r="G12" s="89">
        <v>282.49</v>
      </c>
      <c r="AE12" s="110"/>
    </row>
    <row r="13" spans="1:31" ht="14.25" x14ac:dyDescent="0.2">
      <c r="A13" s="28" t="s">
        <v>91</v>
      </c>
      <c r="B13" s="89">
        <v>345.02</v>
      </c>
      <c r="C13" s="89">
        <v>260.88</v>
      </c>
      <c r="D13" s="89">
        <v>173.53</v>
      </c>
      <c r="E13" s="111" t="s">
        <v>10</v>
      </c>
      <c r="F13" s="89">
        <v>291.14999999999998</v>
      </c>
      <c r="G13" s="89">
        <v>239.15</v>
      </c>
    </row>
    <row r="14" spans="1:31" ht="14.25" x14ac:dyDescent="0.2">
      <c r="A14" s="28" t="s">
        <v>115</v>
      </c>
      <c r="B14" s="89">
        <v>308.27999999999997</v>
      </c>
      <c r="C14" s="89">
        <v>228.64</v>
      </c>
      <c r="D14" s="105">
        <v>164.16</v>
      </c>
      <c r="E14" s="111" t="s">
        <v>10</v>
      </c>
      <c r="F14" s="89">
        <v>272.38</v>
      </c>
      <c r="G14" s="89">
        <v>225.77</v>
      </c>
    </row>
    <row r="15" spans="1:31" ht="14.25" x14ac:dyDescent="0.2">
      <c r="A15" s="28" t="s">
        <v>117</v>
      </c>
      <c r="B15" s="89">
        <v>299.5</v>
      </c>
      <c r="C15" s="89">
        <v>247.04</v>
      </c>
      <c r="D15" s="105">
        <v>187.7</v>
      </c>
      <c r="E15" s="111" t="s">
        <v>10</v>
      </c>
      <c r="F15" s="89">
        <v>273.99</v>
      </c>
      <c r="G15" s="89">
        <v>245.88</v>
      </c>
    </row>
    <row r="16" spans="1:31" ht="16.5" x14ac:dyDescent="0.2">
      <c r="A16" s="28" t="s">
        <v>120</v>
      </c>
      <c r="B16" s="89">
        <v>395</v>
      </c>
      <c r="C16" s="89">
        <v>375</v>
      </c>
      <c r="D16" s="105">
        <v>245</v>
      </c>
      <c r="E16" s="111" t="s">
        <v>10</v>
      </c>
      <c r="F16" s="89">
        <v>352</v>
      </c>
      <c r="G16" s="89">
        <v>290</v>
      </c>
    </row>
    <row r="17" spans="1:16" ht="16.5" x14ac:dyDescent="0.2">
      <c r="A17" s="28" t="s">
        <v>152</v>
      </c>
      <c r="B17" s="89">
        <v>360</v>
      </c>
      <c r="C17" s="89">
        <v>320</v>
      </c>
      <c r="D17" s="105">
        <v>205</v>
      </c>
      <c r="E17" s="111" t="s">
        <v>10</v>
      </c>
      <c r="F17" s="89">
        <v>320</v>
      </c>
      <c r="G17" s="89">
        <v>260</v>
      </c>
    </row>
    <row r="18" spans="1:16" ht="14.25" x14ac:dyDescent="0.2">
      <c r="A18" s="112"/>
      <c r="B18" s="89"/>
      <c r="C18" s="89"/>
      <c r="D18" s="89"/>
      <c r="E18" s="111"/>
      <c r="F18" s="89"/>
      <c r="G18" s="89"/>
      <c r="H18" s="113"/>
    </row>
    <row r="19" spans="1:16" ht="15" x14ac:dyDescent="0.25">
      <c r="A19" s="50" t="s">
        <v>117</v>
      </c>
      <c r="B19" s="89"/>
      <c r="C19" s="89"/>
      <c r="D19" s="89"/>
      <c r="E19" s="111"/>
      <c r="F19" s="89"/>
      <c r="G19" s="89"/>
      <c r="I19" s="114"/>
      <c r="M19" s="114"/>
    </row>
    <row r="20" spans="1:16" ht="14.25" x14ac:dyDescent="0.2">
      <c r="A20" s="28" t="s">
        <v>45</v>
      </c>
      <c r="B20" s="89">
        <v>309.48</v>
      </c>
      <c r="C20" s="89">
        <v>213.13</v>
      </c>
      <c r="D20" s="89">
        <v>169</v>
      </c>
      <c r="E20" s="111" t="s">
        <v>10</v>
      </c>
      <c r="F20" s="89">
        <v>267.89999999999998</v>
      </c>
      <c r="G20" s="89">
        <v>226.5</v>
      </c>
      <c r="I20" s="114"/>
      <c r="J20" s="114"/>
      <c r="K20" s="114"/>
      <c r="L20" s="114"/>
      <c r="M20" s="114"/>
    </row>
    <row r="21" spans="1:16" ht="14.25" x14ac:dyDescent="0.2">
      <c r="A21" s="28" t="s">
        <v>46</v>
      </c>
      <c r="B21" s="89">
        <v>303.13</v>
      </c>
      <c r="C21" s="89">
        <v>233.75</v>
      </c>
      <c r="D21" s="89">
        <v>166.88</v>
      </c>
      <c r="E21" s="111" t="s">
        <v>10</v>
      </c>
      <c r="F21" s="89" t="s">
        <v>10</v>
      </c>
      <c r="G21" s="89">
        <v>226.88</v>
      </c>
      <c r="I21" s="114"/>
      <c r="J21" s="114"/>
      <c r="K21" s="114"/>
      <c r="L21" s="114"/>
      <c r="M21" s="114"/>
    </row>
    <row r="22" spans="1:16" ht="14.25" x14ac:dyDescent="0.2">
      <c r="A22" s="28" t="s">
        <v>47</v>
      </c>
      <c r="B22" s="89">
        <v>299.58999999999997</v>
      </c>
      <c r="C22" s="89">
        <v>250.83</v>
      </c>
      <c r="D22" s="89">
        <v>180</v>
      </c>
      <c r="E22" s="111" t="s">
        <v>10</v>
      </c>
      <c r="F22" s="89" t="s">
        <v>10</v>
      </c>
      <c r="G22" s="89">
        <f>(235+227.5+232.5)/3</f>
        <v>231.66666666666666</v>
      </c>
      <c r="I22" s="114"/>
      <c r="J22" s="114"/>
      <c r="K22" s="114"/>
      <c r="L22" s="114"/>
      <c r="M22" s="114"/>
    </row>
    <row r="23" spans="1:16" ht="14.25" x14ac:dyDescent="0.2">
      <c r="A23" s="28" t="s">
        <v>48</v>
      </c>
      <c r="B23" s="89">
        <v>300.11</v>
      </c>
      <c r="C23" s="89">
        <v>239.38</v>
      </c>
      <c r="D23" s="89">
        <v>185</v>
      </c>
      <c r="E23" s="111" t="s">
        <v>10</v>
      </c>
      <c r="F23" s="89" t="s">
        <v>10</v>
      </c>
      <c r="G23" s="89">
        <v>248.13</v>
      </c>
      <c r="I23" s="114"/>
      <c r="J23" s="114"/>
      <c r="K23" s="114"/>
      <c r="L23" s="114"/>
      <c r="M23" s="114"/>
    </row>
    <row r="24" spans="1:16" ht="14.25" x14ac:dyDescent="0.2">
      <c r="A24" s="28" t="s">
        <v>49</v>
      </c>
      <c r="B24" s="89">
        <v>295.27999999999997</v>
      </c>
      <c r="C24" s="89">
        <v>250.63</v>
      </c>
      <c r="D24" s="89">
        <v>188.13</v>
      </c>
      <c r="E24" s="111" t="s">
        <v>10</v>
      </c>
      <c r="F24" s="89">
        <v>253.67</v>
      </c>
      <c r="G24" s="89">
        <v>262.5</v>
      </c>
      <c r="I24" s="114"/>
      <c r="J24" s="114"/>
      <c r="K24" s="115"/>
    </row>
    <row r="25" spans="1:16" ht="15" x14ac:dyDescent="0.2">
      <c r="A25" s="28" t="s">
        <v>50</v>
      </c>
      <c r="B25" s="89">
        <v>312.38</v>
      </c>
      <c r="C25" s="89">
        <v>259</v>
      </c>
      <c r="D25" s="89">
        <v>180</v>
      </c>
      <c r="E25" s="111" t="s">
        <v>10</v>
      </c>
      <c r="F25" s="89">
        <v>274.75</v>
      </c>
      <c r="G25" s="89">
        <v>263</v>
      </c>
      <c r="I25" s="114"/>
      <c r="J25" s="114"/>
      <c r="K25" s="116"/>
      <c r="M25" s="116"/>
      <c r="N25" s="116"/>
    </row>
    <row r="26" spans="1:16" ht="14.25" x14ac:dyDescent="0.2">
      <c r="A26" s="28" t="s">
        <v>51</v>
      </c>
      <c r="B26" s="89">
        <v>295.39999999999998</v>
      </c>
      <c r="C26" s="89">
        <v>281.88</v>
      </c>
      <c r="D26" s="89">
        <v>183.75</v>
      </c>
      <c r="E26" s="111" t="s">
        <v>10</v>
      </c>
      <c r="F26" s="89">
        <v>274.52999999999997</v>
      </c>
      <c r="G26" s="89">
        <v>260</v>
      </c>
      <c r="I26" s="114"/>
      <c r="J26" s="114"/>
      <c r="K26" s="114"/>
      <c r="L26" s="114"/>
      <c r="M26" s="114"/>
    </row>
    <row r="27" spans="1:16" ht="15" x14ac:dyDescent="0.2">
      <c r="A27" s="28" t="s">
        <v>52</v>
      </c>
      <c r="B27" s="89">
        <v>288.56</v>
      </c>
      <c r="C27" s="89">
        <v>251.88</v>
      </c>
      <c r="D27" s="89">
        <v>180.63</v>
      </c>
      <c r="E27" s="111" t="s">
        <v>10</v>
      </c>
      <c r="F27" s="89">
        <v>276.25</v>
      </c>
      <c r="G27" s="89">
        <v>257.5</v>
      </c>
      <c r="I27" s="114"/>
      <c r="J27" s="114"/>
      <c r="K27" s="114"/>
      <c r="L27" s="116"/>
      <c r="M27" s="114"/>
      <c r="N27" s="116"/>
      <c r="O27" s="116"/>
    </row>
    <row r="28" spans="1:16" ht="14.25" x14ac:dyDescent="0.2">
      <c r="A28" s="28" t="s">
        <v>53</v>
      </c>
      <c r="B28" s="89">
        <v>288.66000000000003</v>
      </c>
      <c r="C28" s="89">
        <v>245.5</v>
      </c>
      <c r="D28" s="89">
        <v>187.5</v>
      </c>
      <c r="E28" s="111" t="s">
        <v>10</v>
      </c>
      <c r="F28" s="89">
        <v>270.02999999999997</v>
      </c>
      <c r="G28" s="89">
        <v>245.63</v>
      </c>
      <c r="I28" s="114"/>
      <c r="J28" s="114"/>
      <c r="K28" s="114"/>
    </row>
    <row r="29" spans="1:16" ht="14.25" x14ac:dyDescent="0.2">
      <c r="A29" s="28" t="s">
        <v>55</v>
      </c>
      <c r="B29" s="89">
        <v>291.25</v>
      </c>
      <c r="C29" s="89">
        <v>245</v>
      </c>
      <c r="D29" s="89">
        <v>202.5</v>
      </c>
      <c r="E29" s="111" t="s">
        <v>10</v>
      </c>
      <c r="F29" s="89">
        <v>271.11</v>
      </c>
      <c r="G29" s="89">
        <v>250</v>
      </c>
      <c r="I29" s="114"/>
      <c r="J29" s="114"/>
      <c r="K29" s="114"/>
    </row>
    <row r="30" spans="1:16" ht="15" x14ac:dyDescent="0.2">
      <c r="A30" s="28" t="s">
        <v>56</v>
      </c>
      <c r="B30" s="89">
        <v>290.18</v>
      </c>
      <c r="C30" s="89">
        <v>245</v>
      </c>
      <c r="D30" s="89">
        <v>217.5</v>
      </c>
      <c r="E30" s="111" t="s">
        <v>10</v>
      </c>
      <c r="F30" s="89">
        <v>281.08999999999997</v>
      </c>
      <c r="G30" s="89">
        <v>251.75</v>
      </c>
      <c r="I30" s="114"/>
      <c r="J30" s="116"/>
      <c r="K30" s="114"/>
      <c r="L30" s="116"/>
      <c r="M30" s="114"/>
    </row>
    <row r="31" spans="1:16" ht="15" x14ac:dyDescent="0.2">
      <c r="A31" s="28" t="s">
        <v>58</v>
      </c>
      <c r="B31" s="89">
        <v>319.99</v>
      </c>
      <c r="C31" s="89">
        <v>248.5</v>
      </c>
      <c r="D31" s="89">
        <v>211.5</v>
      </c>
      <c r="E31" s="111" t="s">
        <v>10</v>
      </c>
      <c r="F31" s="89">
        <v>296.60000000000002</v>
      </c>
      <c r="G31" s="89">
        <v>227</v>
      </c>
      <c r="I31" s="114"/>
      <c r="J31" s="114"/>
      <c r="K31" s="115"/>
      <c r="P31" s="116"/>
    </row>
    <row r="32" spans="1:16" ht="15" x14ac:dyDescent="0.2">
      <c r="A32" s="32"/>
      <c r="B32" s="89"/>
      <c r="C32" s="89"/>
      <c r="D32" s="89"/>
      <c r="E32" s="111"/>
      <c r="F32" s="89"/>
      <c r="G32" s="89"/>
      <c r="I32" s="114"/>
      <c r="J32" s="116"/>
      <c r="K32" s="116"/>
      <c r="L32" s="114"/>
      <c r="M32" s="116"/>
      <c r="N32" s="116"/>
      <c r="O32" s="116"/>
      <c r="P32" s="116"/>
    </row>
    <row r="33" spans="1:16" ht="15" x14ac:dyDescent="0.25">
      <c r="A33" s="50" t="s">
        <v>125</v>
      </c>
      <c r="B33" s="89"/>
      <c r="C33" s="89"/>
      <c r="D33" s="89"/>
      <c r="E33" s="111"/>
      <c r="F33" s="89"/>
      <c r="G33" s="89"/>
      <c r="I33" s="115"/>
      <c r="J33" s="116"/>
      <c r="K33" s="116"/>
      <c r="L33" s="114"/>
      <c r="M33" s="114"/>
      <c r="P33" s="116"/>
    </row>
    <row r="34" spans="1:16" ht="15" x14ac:dyDescent="0.2">
      <c r="A34" s="28" t="s">
        <v>45</v>
      </c>
      <c r="B34" s="89">
        <v>367.11</v>
      </c>
      <c r="C34" s="89">
        <v>301.88</v>
      </c>
      <c r="D34" s="89">
        <v>211.25</v>
      </c>
      <c r="E34" s="111" t="s">
        <v>10</v>
      </c>
      <c r="F34" s="89">
        <v>327.24</v>
      </c>
      <c r="G34" s="89">
        <v>239.375</v>
      </c>
      <c r="H34" s="117"/>
      <c r="I34" s="114"/>
      <c r="J34" s="116"/>
      <c r="K34" s="116"/>
      <c r="L34" s="114"/>
      <c r="M34" s="114"/>
      <c r="P34" s="116"/>
    </row>
    <row r="35" spans="1:16" ht="15" x14ac:dyDescent="0.2">
      <c r="A35" s="28" t="s">
        <v>46</v>
      </c>
      <c r="B35" s="89">
        <v>387.83</v>
      </c>
      <c r="C35" s="89">
        <v>365.63</v>
      </c>
      <c r="D35" s="89">
        <v>216.25</v>
      </c>
      <c r="E35" s="111" t="s">
        <v>10</v>
      </c>
      <c r="F35" s="89">
        <v>333.89</v>
      </c>
      <c r="G35" s="89">
        <v>253.75</v>
      </c>
      <c r="H35" s="117"/>
      <c r="I35" s="114"/>
      <c r="J35" s="28"/>
      <c r="K35" s="116"/>
      <c r="L35" s="114"/>
      <c r="M35" s="114"/>
    </row>
    <row r="36" spans="1:16" ht="15" x14ac:dyDescent="0.2">
      <c r="A36" s="28" t="s">
        <v>47</v>
      </c>
      <c r="B36" s="89">
        <v>396.68</v>
      </c>
      <c r="C36" s="89">
        <v>435.83</v>
      </c>
      <c r="D36" s="89">
        <v>252.5</v>
      </c>
      <c r="E36" s="111" t="s">
        <v>10</v>
      </c>
      <c r="F36" s="89">
        <v>338.55</v>
      </c>
      <c r="G36" s="89">
        <v>275</v>
      </c>
      <c r="H36" s="117"/>
      <c r="I36" s="114"/>
      <c r="J36" s="28"/>
      <c r="K36" s="116"/>
      <c r="L36" s="114"/>
    </row>
    <row r="37" spans="1:16" ht="15" x14ac:dyDescent="0.2">
      <c r="A37" s="32" t="s">
        <v>48</v>
      </c>
      <c r="B37" s="89">
        <v>439.24</v>
      </c>
      <c r="C37" s="89">
        <v>443.75</v>
      </c>
      <c r="D37" s="89">
        <v>280.63</v>
      </c>
      <c r="E37" s="111" t="s">
        <v>10</v>
      </c>
      <c r="F37" s="89">
        <v>387.53</v>
      </c>
      <c r="G37" s="89">
        <v>313.125</v>
      </c>
      <c r="I37" s="114"/>
      <c r="J37" s="116"/>
      <c r="K37" s="116"/>
      <c r="L37" s="116"/>
      <c r="M37" s="116"/>
      <c r="N37" s="116"/>
    </row>
    <row r="38" spans="1:16" ht="15" x14ac:dyDescent="0.25">
      <c r="A38" s="32" t="s">
        <v>49</v>
      </c>
      <c r="B38" s="89">
        <v>427.28</v>
      </c>
      <c r="C38" s="89">
        <v>460</v>
      </c>
      <c r="D38" s="89">
        <v>291.88</v>
      </c>
      <c r="E38" s="111" t="s">
        <v>10</v>
      </c>
      <c r="F38" s="89">
        <v>376.07499999999999</v>
      </c>
      <c r="G38" s="89">
        <v>296.25</v>
      </c>
      <c r="I38" s="114"/>
      <c r="J38" s="118"/>
      <c r="K38" s="116"/>
      <c r="L38" s="114"/>
      <c r="M38" s="114"/>
      <c r="O38" s="116"/>
    </row>
    <row r="39" spans="1:16" ht="15" x14ac:dyDescent="0.2">
      <c r="A39" s="32" t="s">
        <v>50</v>
      </c>
      <c r="B39" s="89">
        <v>410.02</v>
      </c>
      <c r="C39" s="89">
        <v>456</v>
      </c>
      <c r="D39" s="89">
        <v>279.5</v>
      </c>
      <c r="E39" s="111" t="s">
        <v>10</v>
      </c>
      <c r="F39" s="89">
        <v>365.14</v>
      </c>
      <c r="G39" s="89">
        <v>322</v>
      </c>
      <c r="I39" s="114"/>
      <c r="J39" s="32"/>
      <c r="K39" s="114"/>
      <c r="L39" s="114"/>
      <c r="M39" s="114"/>
      <c r="O39" s="116"/>
    </row>
    <row r="40" spans="1:16" ht="15" x14ac:dyDescent="0.25">
      <c r="A40" s="32" t="s">
        <v>51</v>
      </c>
      <c r="B40" s="89">
        <v>413.36</v>
      </c>
      <c r="C40" s="89">
        <v>415</v>
      </c>
      <c r="D40" s="89">
        <v>258.125</v>
      </c>
      <c r="E40" s="111" t="s">
        <v>10</v>
      </c>
      <c r="F40" s="89">
        <v>377.57499999999999</v>
      </c>
      <c r="G40" s="89">
        <v>318.75</v>
      </c>
      <c r="I40" s="50"/>
      <c r="J40" s="32"/>
      <c r="K40" s="114"/>
      <c r="L40" s="114"/>
      <c r="M40" s="114"/>
      <c r="O40" s="116"/>
    </row>
    <row r="41" spans="1:16" ht="15" x14ac:dyDescent="0.2">
      <c r="A41" s="32" t="s">
        <v>52</v>
      </c>
      <c r="B41" s="89">
        <v>421.03</v>
      </c>
      <c r="C41" s="89">
        <v>360.625</v>
      </c>
      <c r="D41" s="89">
        <v>265</v>
      </c>
      <c r="E41" s="111" t="s">
        <v>10</v>
      </c>
      <c r="F41" s="89">
        <v>391.45</v>
      </c>
      <c r="G41" s="89">
        <v>335.63</v>
      </c>
      <c r="I41" s="28"/>
      <c r="J41" s="32"/>
      <c r="K41" s="114"/>
      <c r="L41" s="114"/>
      <c r="M41" s="114"/>
      <c r="O41" s="116"/>
    </row>
    <row r="42" spans="1:16" ht="15" x14ac:dyDescent="0.2">
      <c r="A42" s="32" t="s">
        <v>53</v>
      </c>
      <c r="B42" s="89">
        <v>378.18</v>
      </c>
      <c r="C42" s="89">
        <v>337.5</v>
      </c>
      <c r="D42" s="89">
        <v>252.5</v>
      </c>
      <c r="E42" s="111" t="s">
        <v>10</v>
      </c>
      <c r="F42" s="89">
        <v>345.9</v>
      </c>
      <c r="G42" s="89">
        <v>293.5</v>
      </c>
      <c r="I42" s="28"/>
      <c r="J42" s="32"/>
      <c r="K42" s="114"/>
      <c r="L42" s="114"/>
      <c r="M42" s="114"/>
      <c r="O42" s="116"/>
    </row>
    <row r="43" spans="1:16" ht="15" x14ac:dyDescent="0.2">
      <c r="A43" s="32" t="s">
        <v>55</v>
      </c>
      <c r="B43" s="89">
        <v>365.23</v>
      </c>
      <c r="C43" s="89">
        <v>321.875</v>
      </c>
      <c r="D43" s="89">
        <v>206.25</v>
      </c>
      <c r="E43" s="111" t="s">
        <v>10</v>
      </c>
      <c r="F43" s="89">
        <v>326.67499999999995</v>
      </c>
      <c r="G43" s="89">
        <v>262.5</v>
      </c>
      <c r="I43" s="28"/>
      <c r="J43" s="32"/>
      <c r="K43" s="114"/>
      <c r="L43" s="114"/>
      <c r="M43" s="114"/>
      <c r="O43" s="116"/>
    </row>
    <row r="44" spans="1:16" ht="15" x14ac:dyDescent="0.2">
      <c r="A44" s="26" t="s">
        <v>56</v>
      </c>
      <c r="B44" s="24">
        <v>358.21</v>
      </c>
      <c r="C44" s="24">
        <v>303</v>
      </c>
      <c r="D44" s="24">
        <v>219.5</v>
      </c>
      <c r="E44" s="25" t="s">
        <v>10</v>
      </c>
      <c r="F44" s="24">
        <v>329.45</v>
      </c>
      <c r="G44" s="24">
        <v>287.5</v>
      </c>
      <c r="I44" s="28"/>
      <c r="J44" s="32"/>
      <c r="K44" s="114"/>
      <c r="L44" s="114"/>
      <c r="M44" s="114"/>
      <c r="O44" s="116"/>
    </row>
    <row r="45" spans="1:16" ht="16.5" x14ac:dyDescent="0.2">
      <c r="A45" s="79" t="s">
        <v>159</v>
      </c>
      <c r="B45" s="119"/>
      <c r="C45" s="119"/>
      <c r="D45" s="119"/>
      <c r="E45" s="119"/>
      <c r="F45" s="119"/>
      <c r="G45" s="119"/>
      <c r="I45" s="28"/>
      <c r="J45" s="114"/>
      <c r="K45" s="114"/>
      <c r="L45" s="114"/>
    </row>
    <row r="46" spans="1:16" ht="16.5" x14ac:dyDescent="0.2">
      <c r="A46" s="79" t="s">
        <v>148</v>
      </c>
      <c r="B46" s="120"/>
      <c r="C46" s="120"/>
      <c r="D46" s="120"/>
      <c r="E46" s="120"/>
      <c r="F46" s="120"/>
      <c r="G46" s="120"/>
      <c r="I46" s="28"/>
      <c r="J46" s="89"/>
      <c r="K46" s="114"/>
      <c r="L46" s="114"/>
      <c r="M46" s="114"/>
    </row>
    <row r="47" spans="1:16" ht="14.25" x14ac:dyDescent="0.2">
      <c r="A47" s="28" t="s">
        <v>44</v>
      </c>
      <c r="B47" s="120"/>
      <c r="C47" s="120"/>
      <c r="D47" s="120"/>
      <c r="E47" s="120"/>
      <c r="F47" s="120"/>
      <c r="G47" s="120"/>
      <c r="H47" s="80"/>
      <c r="I47" s="32"/>
      <c r="J47" s="89"/>
      <c r="K47" s="114"/>
      <c r="L47" s="114"/>
      <c r="M47" s="114"/>
    </row>
    <row r="48" spans="1:16" ht="14.25" x14ac:dyDescent="0.2">
      <c r="A48" s="28" t="s">
        <v>160</v>
      </c>
      <c r="B48" s="28"/>
      <c r="C48" s="28"/>
      <c r="D48" s="28"/>
      <c r="E48" s="28"/>
      <c r="F48" s="120"/>
      <c r="G48" s="120"/>
      <c r="I48" s="32"/>
      <c r="J48" s="89"/>
      <c r="K48" s="114"/>
      <c r="L48" s="114"/>
      <c r="M48" s="114"/>
    </row>
    <row r="49" spans="1:13" ht="14.25" x14ac:dyDescent="0.2">
      <c r="A49" s="34" t="s">
        <v>18</v>
      </c>
      <c r="B49" s="68">
        <f ca="1">NOW()</f>
        <v>44452.456168402779</v>
      </c>
      <c r="C49" s="28"/>
      <c r="D49" s="28"/>
      <c r="E49" s="28"/>
      <c r="F49" s="120"/>
      <c r="G49" s="120"/>
      <c r="I49" s="32"/>
      <c r="J49" s="89"/>
      <c r="K49" s="121"/>
      <c r="L49" s="121"/>
      <c r="M49" s="121"/>
    </row>
    <row r="50" spans="1:13" ht="14.25" x14ac:dyDescent="0.2">
      <c r="F50" s="120"/>
      <c r="G50" s="120"/>
      <c r="I50" s="32"/>
      <c r="J50" s="89"/>
      <c r="K50" s="121"/>
      <c r="L50" s="121"/>
      <c r="M50" s="121"/>
    </row>
    <row r="51" spans="1:13" ht="14.25" x14ac:dyDescent="0.2">
      <c r="F51" s="120"/>
      <c r="G51" s="120"/>
      <c r="I51" s="32"/>
      <c r="J51" s="89"/>
      <c r="K51" s="114"/>
      <c r="L51" s="114"/>
      <c r="M51" s="114"/>
    </row>
    <row r="52" spans="1:13" x14ac:dyDescent="0.2">
      <c r="I52" s="122"/>
      <c r="J52" s="122"/>
      <c r="K52" s="114"/>
      <c r="L52" s="114"/>
      <c r="M52" s="114"/>
    </row>
    <row r="53" spans="1:13" x14ac:dyDescent="0.2">
      <c r="I53" s="123"/>
      <c r="J53" s="123"/>
      <c r="K53" s="114"/>
      <c r="L53" s="114"/>
      <c r="M53" s="114"/>
    </row>
    <row r="54" spans="1:13" x14ac:dyDescent="0.2">
      <c r="I54" s="123"/>
      <c r="J54" s="123"/>
      <c r="K54" s="114"/>
      <c r="L54" s="114"/>
      <c r="M54" s="114"/>
    </row>
    <row r="55" spans="1:13" x14ac:dyDescent="0.2">
      <c r="I55" s="123"/>
      <c r="J55" s="123"/>
      <c r="K55" s="114"/>
      <c r="L55" s="114"/>
      <c r="M55" s="114"/>
    </row>
    <row r="56" spans="1:13" x14ac:dyDescent="0.2">
      <c r="I56" s="123"/>
      <c r="J56" s="123"/>
      <c r="K56" s="114"/>
      <c r="L56" s="114"/>
      <c r="M56" s="114"/>
    </row>
    <row r="58" spans="1:13" x14ac:dyDescent="0.2">
      <c r="I58" s="124"/>
      <c r="J58" s="124"/>
      <c r="K58" s="124"/>
      <c r="L58" s="124"/>
      <c r="M58" s="124"/>
    </row>
    <row r="59" spans="1:13" x14ac:dyDescent="0.2">
      <c r="I59" s="124"/>
      <c r="J59" s="124"/>
      <c r="K59" s="124"/>
      <c r="L59" s="124"/>
      <c r="M59" s="124"/>
    </row>
    <row r="60" spans="1:13" x14ac:dyDescent="0.2">
      <c r="J60" s="124"/>
    </row>
  </sheetData>
  <phoneticPr fontId="10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E0EE-7AB4-4BA1-B193-42AF2486725D}">
  <dimension ref="A1:F25"/>
  <sheetViews>
    <sheetView zoomScale="90" zoomScaleNormal="90" workbookViewId="0"/>
  </sheetViews>
  <sheetFormatPr defaultColWidth="8.85546875" defaultRowHeight="15" x14ac:dyDescent="0.25"/>
  <cols>
    <col min="1" max="1" width="7.140625" style="155" bestFit="1" customWidth="1"/>
    <col min="2" max="2" width="12.140625" style="152" customWidth="1"/>
    <col min="3" max="3" width="14.140625" style="152" bestFit="1" customWidth="1"/>
    <col min="4" max="5" width="10.28515625" style="152" bestFit="1" customWidth="1"/>
    <col min="6" max="6" width="8.140625" style="152" bestFit="1" customWidth="1"/>
    <col min="7" max="16384" width="8.85546875" style="152"/>
  </cols>
  <sheetData>
    <row r="1" spans="1:6" x14ac:dyDescent="0.25">
      <c r="A1" s="159"/>
      <c r="B1" s="160" t="s">
        <v>168</v>
      </c>
      <c r="C1" s="161"/>
      <c r="D1" s="161"/>
      <c r="E1" s="161"/>
      <c r="F1" s="161"/>
    </row>
    <row r="2" spans="1:6" x14ac:dyDescent="0.25">
      <c r="A2" s="163" t="s">
        <v>167</v>
      </c>
      <c r="B2" s="150" t="s">
        <v>169</v>
      </c>
      <c r="C2" s="151" t="s">
        <v>170</v>
      </c>
      <c r="D2" s="162" t="s">
        <v>171</v>
      </c>
      <c r="E2" s="162" t="s">
        <v>172</v>
      </c>
      <c r="F2" s="162" t="s">
        <v>173</v>
      </c>
    </row>
    <row r="3" spans="1:6" x14ac:dyDescent="0.25">
      <c r="A3" s="156">
        <v>43739</v>
      </c>
      <c r="B3" s="157">
        <v>30.14</v>
      </c>
      <c r="C3" s="157">
        <v>37.94</v>
      </c>
      <c r="D3" s="157">
        <v>36.31</v>
      </c>
      <c r="E3" s="157">
        <v>61.5</v>
      </c>
      <c r="F3" s="157">
        <v>28.3</v>
      </c>
    </row>
    <row r="4" spans="1:6" x14ac:dyDescent="0.25">
      <c r="A4" s="156">
        <v>43770</v>
      </c>
      <c r="B4" s="157">
        <v>30.62</v>
      </c>
      <c r="C4" s="157">
        <v>38.4</v>
      </c>
      <c r="D4" s="157">
        <v>36.15</v>
      </c>
      <c r="E4" s="157">
        <v>63.1</v>
      </c>
      <c r="F4" s="157">
        <v>30.36</v>
      </c>
    </row>
    <row r="5" spans="1:6" x14ac:dyDescent="0.25">
      <c r="A5" s="156">
        <v>43800</v>
      </c>
      <c r="B5" s="157">
        <v>32.270000000000003</v>
      </c>
      <c r="C5" s="157">
        <v>40.25</v>
      </c>
      <c r="D5" s="157">
        <v>38.06</v>
      </c>
      <c r="E5" s="157">
        <v>60.13</v>
      </c>
      <c r="F5" s="157">
        <v>31.25</v>
      </c>
    </row>
    <row r="6" spans="1:6" x14ac:dyDescent="0.25">
      <c r="A6" s="156">
        <v>43831</v>
      </c>
      <c r="B6" s="157">
        <v>33.04</v>
      </c>
      <c r="C6" s="157">
        <v>40.1</v>
      </c>
      <c r="D6" s="157">
        <v>37.9</v>
      </c>
      <c r="E6" s="157">
        <v>59</v>
      </c>
      <c r="F6" s="157">
        <v>33.299999999999997</v>
      </c>
    </row>
    <row r="7" spans="1:6" x14ac:dyDescent="0.25">
      <c r="A7" s="156">
        <v>43862</v>
      </c>
      <c r="B7" s="157">
        <v>30.26</v>
      </c>
      <c r="C7" s="157">
        <v>38.5</v>
      </c>
      <c r="D7" s="157">
        <v>35.5</v>
      </c>
      <c r="E7" s="157">
        <v>59</v>
      </c>
      <c r="F7" s="157">
        <v>36</v>
      </c>
    </row>
    <row r="8" spans="1:6" x14ac:dyDescent="0.25">
      <c r="A8" s="156">
        <v>43891</v>
      </c>
      <c r="B8" s="157">
        <v>27.04</v>
      </c>
      <c r="C8" s="157">
        <v>36.19</v>
      </c>
      <c r="D8" s="157">
        <v>32.880000000000003</v>
      </c>
      <c r="E8" s="157">
        <v>59.75</v>
      </c>
      <c r="F8" s="157">
        <v>36.94</v>
      </c>
    </row>
    <row r="9" spans="1:6" x14ac:dyDescent="0.25">
      <c r="A9" s="156">
        <v>43922</v>
      </c>
      <c r="B9" s="157">
        <v>25.69</v>
      </c>
      <c r="C9" s="157">
        <v>37.31</v>
      </c>
      <c r="D9" s="157">
        <v>32.380000000000003</v>
      </c>
      <c r="E9" s="157">
        <v>59.5</v>
      </c>
      <c r="F9" s="157">
        <v>44.88</v>
      </c>
    </row>
    <row r="10" spans="1:6" x14ac:dyDescent="0.25">
      <c r="A10" s="156">
        <v>43952</v>
      </c>
      <c r="B10" s="157">
        <v>25.27</v>
      </c>
      <c r="C10" s="157">
        <v>37.200000000000003</v>
      </c>
      <c r="D10" s="157">
        <v>32.4</v>
      </c>
      <c r="E10" s="157">
        <v>62.1</v>
      </c>
      <c r="F10" s="157">
        <v>47.64</v>
      </c>
    </row>
    <row r="11" spans="1:6" x14ac:dyDescent="0.25">
      <c r="A11" s="156">
        <v>43983</v>
      </c>
      <c r="B11" s="157">
        <v>26.61</v>
      </c>
      <c r="C11" s="157">
        <v>36.75</v>
      </c>
      <c r="D11" s="157">
        <v>36.630000000000003</v>
      </c>
      <c r="E11" s="157">
        <v>84.75</v>
      </c>
      <c r="F11" s="157">
        <v>51.34</v>
      </c>
    </row>
    <row r="12" spans="1:6" x14ac:dyDescent="0.25">
      <c r="A12" s="156">
        <v>44013</v>
      </c>
      <c r="B12" s="157">
        <v>28.71</v>
      </c>
      <c r="C12" s="157">
        <v>43</v>
      </c>
      <c r="D12" s="157">
        <v>40.5</v>
      </c>
      <c r="E12" s="157">
        <v>85</v>
      </c>
      <c r="F12" s="157">
        <v>45.45</v>
      </c>
    </row>
    <row r="13" spans="1:6" x14ac:dyDescent="0.25">
      <c r="A13" s="156">
        <v>44044</v>
      </c>
      <c r="B13" s="157">
        <v>32.130000000000003</v>
      </c>
      <c r="C13" s="157">
        <v>46.81</v>
      </c>
      <c r="D13" s="157">
        <v>47.81</v>
      </c>
      <c r="E13" s="157">
        <v>90</v>
      </c>
      <c r="F13" s="157">
        <v>44.75</v>
      </c>
    </row>
    <row r="14" spans="1:6" x14ac:dyDescent="0.25">
      <c r="A14" s="156">
        <v>44075</v>
      </c>
      <c r="B14" s="157">
        <v>34.200000000000003</v>
      </c>
      <c r="C14" s="157">
        <v>49.69</v>
      </c>
      <c r="D14" s="157">
        <v>47.94</v>
      </c>
      <c r="E14" s="157">
        <v>90</v>
      </c>
      <c r="F14" s="157">
        <v>43.38</v>
      </c>
    </row>
    <row r="15" spans="1:6" x14ac:dyDescent="0.25">
      <c r="A15" s="156">
        <v>44105</v>
      </c>
      <c r="B15" s="158">
        <v>33.909999999999997</v>
      </c>
      <c r="C15" s="157">
        <v>48.35</v>
      </c>
      <c r="D15" s="157">
        <v>44.35</v>
      </c>
      <c r="E15" s="157">
        <v>93</v>
      </c>
      <c r="F15" s="157">
        <v>42.4375</v>
      </c>
    </row>
    <row r="16" spans="1:6" x14ac:dyDescent="0.25">
      <c r="A16" s="156">
        <v>44136</v>
      </c>
      <c r="B16" s="158">
        <v>37.79</v>
      </c>
      <c r="C16" s="157">
        <v>54.4375</v>
      </c>
      <c r="D16" s="157">
        <v>49.5</v>
      </c>
      <c r="E16" s="157">
        <v>98.75</v>
      </c>
      <c r="F16" s="157">
        <v>42.524999999999999</v>
      </c>
    </row>
    <row r="17" spans="1:6" x14ac:dyDescent="0.25">
      <c r="A17" s="156">
        <v>44166</v>
      </c>
      <c r="B17" s="158">
        <v>40.85</v>
      </c>
      <c r="C17" s="157">
        <v>59.2</v>
      </c>
      <c r="D17" s="157">
        <v>51.65</v>
      </c>
      <c r="E17" s="157">
        <v>100</v>
      </c>
      <c r="F17" s="157">
        <v>41.725000000000001</v>
      </c>
    </row>
    <row r="18" spans="1:6" x14ac:dyDescent="0.25">
      <c r="A18" s="156">
        <v>44197</v>
      </c>
      <c r="B18" s="158">
        <v>44.31</v>
      </c>
      <c r="C18" s="157">
        <v>63.1875</v>
      </c>
      <c r="D18" s="157">
        <v>53.3125</v>
      </c>
      <c r="E18" s="157">
        <v>90</v>
      </c>
      <c r="F18" s="157">
        <v>43.337499999999999</v>
      </c>
    </row>
    <row r="19" spans="1:6" x14ac:dyDescent="0.25">
      <c r="A19" s="156">
        <v>44228</v>
      </c>
      <c r="B19" s="158">
        <v>48.37</v>
      </c>
      <c r="C19" s="157">
        <v>73.625</v>
      </c>
      <c r="D19" s="157">
        <v>58.9375</v>
      </c>
      <c r="E19" s="157">
        <v>93</v>
      </c>
      <c r="F19" s="157">
        <v>44.945</v>
      </c>
    </row>
    <row r="20" spans="1:6" x14ac:dyDescent="0.25">
      <c r="A20" s="156">
        <v>44256</v>
      </c>
      <c r="B20" s="158">
        <v>54</v>
      </c>
      <c r="C20" s="157">
        <v>86.9375</v>
      </c>
      <c r="D20" s="157">
        <v>71.3125</v>
      </c>
      <c r="E20" s="157">
        <v>105.25</v>
      </c>
      <c r="F20" s="157">
        <v>52.05</v>
      </c>
    </row>
    <row r="21" spans="1:6" x14ac:dyDescent="0.25">
      <c r="A21" s="156">
        <v>44287</v>
      </c>
      <c r="B21" s="158">
        <v>62.88</v>
      </c>
      <c r="C21" s="157">
        <v>92.65</v>
      </c>
      <c r="D21" s="157">
        <v>79.55</v>
      </c>
      <c r="E21" s="157">
        <v>109.2</v>
      </c>
      <c r="F21" s="157">
        <v>59.8125</v>
      </c>
    </row>
    <row r="22" spans="1:6" x14ac:dyDescent="0.25">
      <c r="A22" s="156">
        <v>44317</v>
      </c>
      <c r="B22" s="158">
        <v>74.75</v>
      </c>
      <c r="C22" s="157">
        <v>102.1875</v>
      </c>
      <c r="D22" s="157">
        <v>94.0625</v>
      </c>
      <c r="E22" s="157">
        <v>110</v>
      </c>
      <c r="F22" s="157">
        <v>68.25</v>
      </c>
    </row>
    <row r="23" spans="1:6" x14ac:dyDescent="0.25">
      <c r="A23" s="156">
        <v>44348</v>
      </c>
      <c r="B23" s="158">
        <v>74.75</v>
      </c>
      <c r="C23" s="157">
        <v>100.6875</v>
      </c>
      <c r="D23" s="157">
        <v>93.5</v>
      </c>
      <c r="E23" s="157">
        <v>108.1875</v>
      </c>
      <c r="F23" s="157">
        <v>67.599999999999994</v>
      </c>
    </row>
    <row r="24" spans="1:6" x14ac:dyDescent="0.25">
      <c r="A24" s="156">
        <v>44378</v>
      </c>
      <c r="B24" s="157">
        <v>72.930000000000007</v>
      </c>
      <c r="C24" s="157">
        <v>99.9</v>
      </c>
      <c r="D24" s="157">
        <v>92.3</v>
      </c>
      <c r="E24" s="157">
        <v>106</v>
      </c>
      <c r="F24" s="157">
        <v>66.094999999999999</v>
      </c>
    </row>
    <row r="25" spans="1:6" x14ac:dyDescent="0.25">
      <c r="A25" s="156">
        <v>44409</v>
      </c>
      <c r="B25" s="157">
        <v>70.010000000000005</v>
      </c>
      <c r="C25" s="157">
        <v>96.5</v>
      </c>
      <c r="D25" s="157">
        <v>81</v>
      </c>
      <c r="E25" s="157">
        <v>108.75</v>
      </c>
      <c r="F25" s="157">
        <v>64.156000000000006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purl.org/dc/terms/"/>
    <ds:schemaRef ds:uri="642c2d5b-b5cd-4c4f-95a0-23189163303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d29759f-fdc3-4b89-93e8-7a818e788e9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Figure 1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lastPrinted>2014-11-10T20:35:48Z</cp:lastPrinted>
  <dcterms:created xsi:type="dcterms:W3CDTF">2001-11-13T16:22:15Z</dcterms:created>
  <dcterms:modified xsi:type="dcterms:W3CDTF">2021-09-13T15:59:01Z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